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環境都市推進部\環境対策課\01　共通\J_04_00　総括（J_環境保全）\000　総括\031　【簿冊_3年】ホームページ管理\2025年度（令和７年度）\250515_水質係所管事務の年次データ更新\【案など】図表等のデータ\令和５年度データ\"/>
    </mc:Choice>
  </mc:AlternateContent>
  <xr:revisionPtr revIDLastSave="0" documentId="13_ncr:1_{AEE51D68-AB15-4154-ACBC-3EEEA7862F80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【閲覧用】成果表" sheetId="18" r:id="rId1"/>
    <sheet name="【別紙1】標高（入力）" sheetId="5" state="hidden" r:id="rId2"/>
    <sheet name="【別紙2】まとめ" sheetId="16" state="hidden" r:id="rId3"/>
    <sheet name="【別紙2】まとめ (2)" sheetId="21" state="hidden" r:id="rId4"/>
    <sheet name="【別紙３】沈下4地区（グラフ）" sheetId="14" state="hidden" r:id="rId5"/>
    <sheet name="←ここまで要確認" sheetId="20" state="hidden" r:id="rId6"/>
    <sheet name="【全期間】成果表実測値" sheetId="6" state="hidden" r:id="rId7"/>
    <sheet name="【全期間】成果表単年値" sheetId="19" state="hidden" r:id="rId8"/>
    <sheet name="【全期間】成果表実測値 (2)" sheetId="22" state="hidden" r:id="rId9"/>
    <sheet name="【参考】測量データ" sheetId="15" state="hidden" r:id="rId10"/>
    <sheet name="×【別紙3】沈下20地点（グラフ）" sheetId="13" state="hidden" r:id="rId11"/>
    <sheet name="H9" sheetId="9" state="hidden" r:id="rId12"/>
    <sheet name="H8" sheetId="8" state="hidden" r:id="rId13"/>
    <sheet name="H7" sheetId="7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1__123Graph_Aｸﾞﾗﾌ_1" localSheetId="0" hidden="1">#REF!</definedName>
    <definedName name="_1__123Graph_Aｸﾞﾗﾌ_1" localSheetId="7" hidden="1">#REF!</definedName>
    <definedName name="_1__123Graph_Aｸﾞﾗﾌ_1" localSheetId="4" hidden="1">#REF!</definedName>
    <definedName name="_1__123Graph_Aｸﾞﾗﾌ_1" hidden="1">#REF!</definedName>
    <definedName name="_10__123Graph_Aｸﾞﾗﾌ_16" localSheetId="0" hidden="1">#REF!</definedName>
    <definedName name="_10__123Graph_Aｸﾞﾗﾌ_16" localSheetId="7" hidden="1">#REF!</definedName>
    <definedName name="_10__123Graph_Aｸﾞﾗﾌ_16" localSheetId="4" hidden="1">#REF!</definedName>
    <definedName name="_10__123Graph_Aｸﾞﾗﾌ_16" hidden="1">#REF!</definedName>
    <definedName name="_10__123Graph_Cｸﾞﾗﾌ_3" localSheetId="0" hidden="1">#REF!</definedName>
    <definedName name="_10__123Graph_Cｸﾞﾗﾌ_3" localSheetId="7" hidden="1">#REF!</definedName>
    <definedName name="_10__123Graph_Cｸﾞﾗﾌ_3" localSheetId="4" hidden="1">#REF!</definedName>
    <definedName name="_10__123Graph_Cｸﾞﾗﾌ_3" hidden="1">#REF!</definedName>
    <definedName name="_100__123Graph_Eｸﾞﾗﾌ_20" localSheetId="0" hidden="1">'[1]表4 工事による揚水量'!#REF!</definedName>
    <definedName name="_100__123Graph_Eｸﾞﾗﾌ_20" localSheetId="7" hidden="1">'[1]表4 工事による揚水量'!#REF!</definedName>
    <definedName name="_100__123Graph_Eｸﾞﾗﾌ_20" localSheetId="4" hidden="1">'[1]表4 工事による揚水量'!#REF!</definedName>
    <definedName name="_100__123Graph_Eｸﾞﾗﾌ_20" hidden="1">'[1]表4 工事による揚水量'!#REF!</definedName>
    <definedName name="_102__123Graph_Eｸﾞﾗﾌ_3" localSheetId="0" hidden="1">'[1]図1用途別揚水量(全市分)'!#REF!</definedName>
    <definedName name="_102__123Graph_Eｸﾞﾗﾌ_3" localSheetId="7" hidden="1">'[1]図1用途別揚水量(全市分)'!#REF!</definedName>
    <definedName name="_102__123Graph_Eｸﾞﾗﾌ_3" localSheetId="4" hidden="1">'[1]図1用途別揚水量(全市分)'!#REF!</definedName>
    <definedName name="_102__123Graph_Eｸﾞﾗﾌ_3" hidden="1">'[1]図1用途別揚水量(全市分)'!#REF!</definedName>
    <definedName name="_104__123Graph_Eｸﾞﾗﾌ_5" hidden="1">'[1]図1用途別揚水量(全市分)'!$C$9:$H$9</definedName>
    <definedName name="_105__123Graph_Eｸﾞﾗﾌ_6" localSheetId="0" hidden="1">#REF!</definedName>
    <definedName name="_105__123Graph_Eｸﾞﾗﾌ_6" localSheetId="7" hidden="1">#REF!</definedName>
    <definedName name="_105__123Graph_Eｸﾞﾗﾌ_6" localSheetId="4" hidden="1">#REF!</definedName>
    <definedName name="_105__123Graph_Eｸﾞﾗﾌ_6" hidden="1">#REF!</definedName>
    <definedName name="_106__123Graph_Eｸﾞﾗﾌ_7" localSheetId="0" hidden="1">#REF!</definedName>
    <definedName name="_106__123Graph_Eｸﾞﾗﾌ_7" localSheetId="7" hidden="1">#REF!</definedName>
    <definedName name="_106__123Graph_Eｸﾞﾗﾌ_7" localSheetId="4" hidden="1">#REF!</definedName>
    <definedName name="_106__123Graph_Eｸﾞﾗﾌ_7" hidden="1">#REF!</definedName>
    <definedName name="_107__123Graph_Fｸﾞﾗﾌ_10" localSheetId="0" hidden="1">#REF!</definedName>
    <definedName name="_107__123Graph_Fｸﾞﾗﾌ_10" localSheetId="7" hidden="1">#REF!</definedName>
    <definedName name="_107__123Graph_Fｸﾞﾗﾌ_10" localSheetId="4" hidden="1">#REF!</definedName>
    <definedName name="_107__123Graph_Fｸﾞﾗﾌ_10" hidden="1">#REF!</definedName>
    <definedName name="_108__123Graph_Fｸﾞﾗﾌ_16" localSheetId="0" hidden="1">#REF!</definedName>
    <definedName name="_108__123Graph_Fｸﾞﾗﾌ_16" localSheetId="7" hidden="1">#REF!</definedName>
    <definedName name="_108__123Graph_Fｸﾞﾗﾌ_16" localSheetId="4" hidden="1">#REF!</definedName>
    <definedName name="_108__123Graph_Fｸﾞﾗﾌ_16" hidden="1">#REF!</definedName>
    <definedName name="_109__123Graph_Fｸﾞﾗﾌ_17" localSheetId="0" hidden="1">#REF!</definedName>
    <definedName name="_109__123Graph_Fｸﾞﾗﾌ_17" localSheetId="7" hidden="1">#REF!</definedName>
    <definedName name="_109__123Graph_Fｸﾞﾗﾌ_17" localSheetId="4" hidden="1">#REF!</definedName>
    <definedName name="_109__123Graph_Fｸﾞﾗﾌ_17" hidden="1">#REF!</definedName>
    <definedName name="_11__123Graph_Aｸﾞﾗﾌ_17" localSheetId="0" hidden="1">#REF!</definedName>
    <definedName name="_11__123Graph_Aｸﾞﾗﾌ_17" localSheetId="7" hidden="1">#REF!</definedName>
    <definedName name="_11__123Graph_Aｸﾞﾗﾌ_17" localSheetId="4" hidden="1">#REF!</definedName>
    <definedName name="_11__123Graph_Aｸﾞﾗﾌ_17" hidden="1">#REF!</definedName>
    <definedName name="_11__123Graph_Dｸﾞﾗﾌ_1" localSheetId="0" hidden="1">#REF!</definedName>
    <definedName name="_11__123Graph_Dｸﾞﾗﾌ_1" localSheetId="7" hidden="1">#REF!</definedName>
    <definedName name="_11__123Graph_Dｸﾞﾗﾌ_1" localSheetId="4" hidden="1">#REF!</definedName>
    <definedName name="_11__123Graph_Dｸﾞﾗﾌ_1" hidden="1">#REF!</definedName>
    <definedName name="_110__123Graph_Fｸﾞﾗﾌ_18" localSheetId="0" hidden="1">#REF!</definedName>
    <definedName name="_110__123Graph_Fｸﾞﾗﾌ_18" localSheetId="7" hidden="1">#REF!</definedName>
    <definedName name="_110__123Graph_Fｸﾞﾗﾌ_18" localSheetId="4" hidden="1">#REF!</definedName>
    <definedName name="_110__123Graph_Fｸﾞﾗﾌ_18" hidden="1">#REF!</definedName>
    <definedName name="_112__123Graph_Fｸﾞﾗﾌ_2" localSheetId="0" hidden="1">'[1]図1用途別揚水量(全市分)'!#REF!</definedName>
    <definedName name="_112__123Graph_Fｸﾞﾗﾌ_2" localSheetId="7" hidden="1">'[1]図1用途別揚水量(全市分)'!#REF!</definedName>
    <definedName name="_112__123Graph_Fｸﾞﾗﾌ_2" localSheetId="4" hidden="1">'[1]図1用途別揚水量(全市分)'!#REF!</definedName>
    <definedName name="_112__123Graph_Fｸﾞﾗﾌ_2" hidden="1">'[1]図1用途別揚水量(全市分)'!#REF!</definedName>
    <definedName name="_114__123Graph_Fｸﾞﾗﾌ_3" localSheetId="0" hidden="1">'[1]図1用途別揚水量(全市分)'!#REF!</definedName>
    <definedName name="_114__123Graph_Fｸﾞﾗﾌ_3" localSheetId="7" hidden="1">'[1]図1用途別揚水量(全市分)'!#REF!</definedName>
    <definedName name="_114__123Graph_Fｸﾞﾗﾌ_3" localSheetId="4" hidden="1">'[1]図1用途別揚水量(全市分)'!#REF!</definedName>
    <definedName name="_114__123Graph_Fｸﾞﾗﾌ_3" hidden="1">'[1]図1用途別揚水量(全市分)'!#REF!</definedName>
    <definedName name="_116__123Graph_Fｸﾞﾗﾌ_5" hidden="1">'[1]図1用途別揚水量(全市分)'!$C$10:$H$10</definedName>
    <definedName name="_117__123Graph_Fｸﾞﾗﾌ_6" localSheetId="0" hidden="1">#REF!</definedName>
    <definedName name="_117__123Graph_Fｸﾞﾗﾌ_6" localSheetId="7" hidden="1">#REF!</definedName>
    <definedName name="_117__123Graph_Fｸﾞﾗﾌ_6" localSheetId="4" hidden="1">#REF!</definedName>
    <definedName name="_117__123Graph_Fｸﾞﾗﾌ_6" hidden="1">#REF!</definedName>
    <definedName name="_118__123Graph_Fｸﾞﾗﾌ_7" localSheetId="0" hidden="1">#REF!</definedName>
    <definedName name="_118__123Graph_Fｸﾞﾗﾌ_7" localSheetId="7" hidden="1">#REF!</definedName>
    <definedName name="_118__123Graph_Fｸﾞﾗﾌ_7" localSheetId="4" hidden="1">#REF!</definedName>
    <definedName name="_118__123Graph_Fｸﾞﾗﾌ_7" hidden="1">#REF!</definedName>
    <definedName name="_119__123Graph_LBL_Eｸﾞﾗﾌ_14" localSheetId="0" hidden="1">'[1]表4 工事による揚水量'!#REF!</definedName>
    <definedName name="_119__123Graph_LBL_Eｸﾞﾗﾌ_14" localSheetId="7" hidden="1">'[1]表4 工事による揚水量'!#REF!</definedName>
    <definedName name="_119__123Graph_LBL_Eｸﾞﾗﾌ_14" localSheetId="4" hidden="1">'[1]表4 工事による揚水量'!#REF!</definedName>
    <definedName name="_119__123Graph_LBL_Eｸﾞﾗﾌ_14" hidden="1">'[1]表4 工事による揚水量'!#REF!</definedName>
    <definedName name="_12__123Graph_Aｸﾞﾗﾌ_18" localSheetId="0" hidden="1">#REF!</definedName>
    <definedName name="_12__123Graph_Aｸﾞﾗﾌ_18" localSheetId="7" hidden="1">#REF!</definedName>
    <definedName name="_12__123Graph_Aｸﾞﾗﾌ_18" localSheetId="4" hidden="1">#REF!</definedName>
    <definedName name="_12__123Graph_Aｸﾞﾗﾌ_18" hidden="1">#REF!</definedName>
    <definedName name="_12__123Graph_Dｸﾞﾗﾌ_2" localSheetId="0" hidden="1">#REF!</definedName>
    <definedName name="_12__123Graph_Dｸﾞﾗﾌ_2" localSheetId="7" hidden="1">#REF!</definedName>
    <definedName name="_12__123Graph_Dｸﾞﾗﾌ_2" localSheetId="4" hidden="1">#REF!</definedName>
    <definedName name="_12__123Graph_Dｸﾞﾗﾌ_2" hidden="1">#REF!</definedName>
    <definedName name="_120__123Graph_LBL_Eｸﾞﾗﾌ_20" localSheetId="0" hidden="1">'[1]表4 工事による揚水量'!#REF!</definedName>
    <definedName name="_120__123Graph_LBL_Eｸﾞﾗﾌ_20" localSheetId="7" hidden="1">'[1]表4 工事による揚水量'!#REF!</definedName>
    <definedName name="_120__123Graph_LBL_Eｸﾞﾗﾌ_20" localSheetId="4" hidden="1">'[1]表4 工事による揚水量'!#REF!</definedName>
    <definedName name="_120__123Graph_LBL_Eｸﾞﾗﾌ_20" hidden="1">'[1]表4 工事による揚水量'!#REF!</definedName>
    <definedName name="_122__123Graph_Xｸﾞﾗﾌ_10" localSheetId="0" hidden="1">#REF!</definedName>
    <definedName name="_122__123Graph_Xｸﾞﾗﾌ_10" localSheetId="7" hidden="1">#REF!</definedName>
    <definedName name="_122__123Graph_Xｸﾞﾗﾌ_10" localSheetId="4" hidden="1">#REF!</definedName>
    <definedName name="_122__123Graph_Xｸﾞﾗﾌ_10" hidden="1">#REF!</definedName>
    <definedName name="_123__123Graph_Xｸﾞﾗﾌ_12" localSheetId="0" hidden="1">#REF!</definedName>
    <definedName name="_123__123Graph_Xｸﾞﾗﾌ_12" localSheetId="7" hidden="1">#REF!</definedName>
    <definedName name="_123__123Graph_Xｸﾞﾗﾌ_12" localSheetId="4" hidden="1">#REF!</definedName>
    <definedName name="_123__123Graph_Xｸﾞﾗﾌ_12" hidden="1">#REF!</definedName>
    <definedName name="＿123GRaph_Aグラフ10" hidden="1">[2]丘珠!$C$7:$C$253</definedName>
    <definedName name="_123Graph_Aグラフ11" hidden="1">[2]川北!$C$7:$C$241</definedName>
    <definedName name="_123Graph_Aグラフ12" hidden="1">[2]本庁!$C$8:$C$330</definedName>
    <definedName name="_123Graph_Aグラフ13" hidden="1">[2]八軒!$D$7:$D$265</definedName>
    <definedName name="_123Graph_Aグラフ14" hidden="1">[2]丘珠!$D$7:$D$253</definedName>
    <definedName name="_123Graph_Aグラフ15" hidden="1">[2]川北!$D$7:$D$241</definedName>
    <definedName name="_123Graph_Aグラフ16" hidden="1">[2]八軒!$K$7:$K$265</definedName>
    <definedName name="_123Graph_Aグラフ17" hidden="1">[2]川北!$K$7:$K$241</definedName>
    <definedName name="_123Graph_Aグラフ18" hidden="1">[2]八軒!$L$7:$L$265</definedName>
    <definedName name="_123Graph_Aグラフ19" hidden="1">[2]丘珠!$L$7:$L$253</definedName>
    <definedName name="_123Graph_Aグラフ2" hidden="1">[2]八軒!$C$7:$C$265</definedName>
    <definedName name="_123Graph_Aグラフ20" hidden="1">[2]川北!$L$7:$L$241</definedName>
    <definedName name="_123Graph_Aグラフ21" hidden="1">[2]八軒!$A$7:$A$265</definedName>
    <definedName name="_124__123Graph_Xｸﾞﾗﾌ_13" localSheetId="0" hidden="1">#REF!</definedName>
    <definedName name="_124__123Graph_Xｸﾞﾗﾌ_13" localSheetId="7" hidden="1">#REF!</definedName>
    <definedName name="_124__123Graph_Xｸﾞﾗﾌ_13" localSheetId="4" hidden="1">#REF!</definedName>
    <definedName name="_124__123Graph_Xｸﾞﾗﾌ_13" hidden="1">#REF!</definedName>
    <definedName name="_125__123Graph_Xｸﾞﾗﾌ_18" localSheetId="0" hidden="1">#REF!</definedName>
    <definedName name="_125__123Graph_Xｸﾞﾗﾌ_18" localSheetId="7" hidden="1">#REF!</definedName>
    <definedName name="_125__123Graph_Xｸﾞﾗﾌ_18" localSheetId="4" hidden="1">#REF!</definedName>
    <definedName name="_125__123Graph_Xｸﾞﾗﾌ_18" hidden="1">#REF!</definedName>
    <definedName name="_127__123Graph_Xｸﾞﾗﾌ_2" localSheetId="0" hidden="1">'[1]図1用途別揚水量(全市分)'!#REF!</definedName>
    <definedName name="_127__123Graph_Xｸﾞﾗﾌ_2" localSheetId="7" hidden="1">'[1]図1用途別揚水量(全市分)'!#REF!</definedName>
    <definedName name="_127__123Graph_Xｸﾞﾗﾌ_2" localSheetId="4" hidden="1">'[1]図1用途別揚水量(全市分)'!#REF!</definedName>
    <definedName name="_127__123Graph_Xｸﾞﾗﾌ_2" hidden="1">'[1]図1用途別揚水量(全市分)'!#REF!</definedName>
    <definedName name="_128__123Graph_Xｸﾞﾗﾌ_20" localSheetId="0" hidden="1">'[1]表4 工事による揚水量'!#REF!</definedName>
    <definedName name="_128__123Graph_Xｸﾞﾗﾌ_20" localSheetId="7" hidden="1">'[1]表4 工事による揚水量'!#REF!</definedName>
    <definedName name="_128__123Graph_Xｸﾞﾗﾌ_20" localSheetId="4" hidden="1">'[1]表4 工事による揚水量'!#REF!</definedName>
    <definedName name="_128__123Graph_Xｸﾞﾗﾌ_20" hidden="1">'[1]表4 工事による揚水量'!#REF!</definedName>
    <definedName name="_13__123Graph_Aｸﾞﾗﾌ_19" localSheetId="0" hidden="1">'[1]表4 工事による揚水量'!#REF!</definedName>
    <definedName name="_13__123Graph_Aｸﾞﾗﾌ_19" localSheetId="7" hidden="1">'[1]表4 工事による揚水量'!#REF!</definedName>
    <definedName name="_13__123Graph_Aｸﾞﾗﾌ_19" localSheetId="4" hidden="1">'[1]表4 工事による揚水量'!#REF!</definedName>
    <definedName name="_13__123Graph_Aｸﾞﾗﾌ_19" hidden="1">'[1]表4 工事による揚水量'!#REF!</definedName>
    <definedName name="_13__123Graph_Dｸﾞﾗﾌ_3" localSheetId="0" hidden="1">#REF!</definedName>
    <definedName name="_13__123Graph_Dｸﾞﾗﾌ_3" localSheetId="7" hidden="1">#REF!</definedName>
    <definedName name="_13__123Graph_Dｸﾞﾗﾌ_3" localSheetId="4" hidden="1">#REF!</definedName>
    <definedName name="_13__123Graph_Dｸﾞﾗﾌ_3" hidden="1">#REF!</definedName>
    <definedName name="_130__123Graph_Xｸﾞﾗﾌ_3" localSheetId="0" hidden="1">'[1]図1用途別揚水量(全市分)'!#REF!</definedName>
    <definedName name="_130__123Graph_Xｸﾞﾗﾌ_3" localSheetId="7" hidden="1">'[1]図1用途別揚水量(全市分)'!#REF!</definedName>
    <definedName name="_130__123Graph_Xｸﾞﾗﾌ_3" localSheetId="4" hidden="1">'[1]図1用途別揚水量(全市分)'!#REF!</definedName>
    <definedName name="_130__123Graph_Xｸﾞﾗﾌ_3" hidden="1">'[1]図1用途別揚水量(全市分)'!#REF!</definedName>
    <definedName name="_131__123Graph_Xｸﾞﾗﾌ_7" localSheetId="0" hidden="1">#REF!</definedName>
    <definedName name="_131__123Graph_Xｸﾞﾗﾌ_7" localSheetId="7" hidden="1">#REF!</definedName>
    <definedName name="_131__123Graph_Xｸﾞﾗﾌ_7" localSheetId="4" hidden="1">#REF!</definedName>
    <definedName name="_131__123Graph_Xｸﾞﾗﾌ_7" hidden="1">#REF!</definedName>
    <definedName name="_132__123Graph_Xｸﾞﾗﾌ_8" localSheetId="0" hidden="1">#REF!</definedName>
    <definedName name="_132__123Graph_Xｸﾞﾗﾌ_8" localSheetId="7" hidden="1">#REF!</definedName>
    <definedName name="_132__123Graph_Xｸﾞﾗﾌ_8" localSheetId="4" hidden="1">#REF!</definedName>
    <definedName name="_132__123Graph_Xｸﾞﾗﾌ_8" hidden="1">#REF!</definedName>
    <definedName name="_14__123Graph_Xｸﾞﾗﾌ_1" localSheetId="0" hidden="1">#REF!</definedName>
    <definedName name="_14__123Graph_Xｸﾞﾗﾌ_1" localSheetId="7" hidden="1">#REF!</definedName>
    <definedName name="_14__123Graph_Xｸﾞﾗﾌ_1" localSheetId="4" hidden="1">#REF!</definedName>
    <definedName name="_14__123Graph_Xｸﾞﾗﾌ_1" hidden="1">#REF!</definedName>
    <definedName name="_17__123Graph_Aｸﾞﾗﾌ_20" localSheetId="0" hidden="1">'[1]表4 工事による揚水量'!#REF!</definedName>
    <definedName name="_17__123Graph_Aｸﾞﾗﾌ_20" localSheetId="7" hidden="1">'[1]表4 工事による揚水量'!#REF!</definedName>
    <definedName name="_17__123Graph_Aｸﾞﾗﾌ_20" localSheetId="4" hidden="1">'[1]表4 工事による揚水量'!#REF!</definedName>
    <definedName name="_17__123Graph_Aｸﾞﾗﾌ_20" hidden="1">'[1]表4 工事による揚水量'!#REF!</definedName>
    <definedName name="_2__123Graph_Aｸﾞﾗﾌ_2" localSheetId="0" hidden="1">#REF!</definedName>
    <definedName name="_2__123Graph_Aｸﾞﾗﾌ_2" localSheetId="7" hidden="1">#REF!</definedName>
    <definedName name="_2__123Graph_Aｸﾞﾗﾌ_2" localSheetId="4" hidden="1">#REF!</definedName>
    <definedName name="_2__123Graph_Aｸﾞﾗﾌ_2" hidden="1">#REF!</definedName>
    <definedName name="_25__123Graph_Aｸﾞﾗﾌ_5" hidden="1">'[1]図1用途別揚水量(全市分)'!$C$5:$H$5</definedName>
    <definedName name="_26__123Graph_Aｸﾞﾗﾌ_6" localSheetId="0" hidden="1">#REF!</definedName>
    <definedName name="_26__123Graph_Aｸﾞﾗﾌ_6" localSheetId="7" hidden="1">#REF!</definedName>
    <definedName name="_26__123Graph_Aｸﾞﾗﾌ_6" localSheetId="4" hidden="1">#REF!</definedName>
    <definedName name="_26__123Graph_Aｸﾞﾗﾌ_6" hidden="1">#REF!</definedName>
    <definedName name="_27__123Graph_Aｸﾞﾗﾌ_7" localSheetId="0" hidden="1">#REF!</definedName>
    <definedName name="_27__123Graph_Aｸﾞﾗﾌ_7" localSheetId="7" hidden="1">#REF!</definedName>
    <definedName name="_27__123Graph_Aｸﾞﾗﾌ_7" localSheetId="4" hidden="1">#REF!</definedName>
    <definedName name="_27__123Graph_Aｸﾞﾗﾌ_7" hidden="1">#REF!</definedName>
    <definedName name="_28__123Graph_Aｸﾞﾗﾌ_8" localSheetId="0" hidden="1">#REF!</definedName>
    <definedName name="_28__123Graph_Aｸﾞﾗﾌ_8" localSheetId="7" hidden="1">#REF!</definedName>
    <definedName name="_28__123Graph_Aｸﾞﾗﾌ_8" localSheetId="4" hidden="1">#REF!</definedName>
    <definedName name="_28__123Graph_Aｸﾞﾗﾌ_8" hidden="1">#REF!</definedName>
    <definedName name="_29__123Graph_Aｸﾞﾗﾌ_9" localSheetId="0" hidden="1">#REF!</definedName>
    <definedName name="_29__123Graph_Aｸﾞﾗﾌ_9" localSheetId="7" hidden="1">#REF!</definedName>
    <definedName name="_29__123Graph_Aｸﾞﾗﾌ_9" localSheetId="4" hidden="1">#REF!</definedName>
    <definedName name="_29__123Graph_Aｸﾞﾗﾌ_9" hidden="1">#REF!</definedName>
    <definedName name="_3__123Graph_Aｸﾞﾗﾌ_3" localSheetId="0" hidden="1">#REF!</definedName>
    <definedName name="_3__123Graph_Aｸﾞﾗﾌ_3" localSheetId="7" hidden="1">#REF!</definedName>
    <definedName name="_3__123Graph_Aｸﾞﾗﾌ_3" localSheetId="4" hidden="1">#REF!</definedName>
    <definedName name="_3__123Graph_Aｸﾞﾗﾌ_3" hidden="1">#REF!</definedName>
    <definedName name="_31__123Graph_Bｸﾞﾗﾌ_10" localSheetId="0" hidden="1">#REF!</definedName>
    <definedName name="_31__123Graph_Bｸﾞﾗﾌ_10" localSheetId="7" hidden="1">#REF!</definedName>
    <definedName name="_31__123Graph_Bｸﾞﾗﾌ_10" localSheetId="4" hidden="1">#REF!</definedName>
    <definedName name="_31__123Graph_Bｸﾞﾗﾌ_10" hidden="1">#REF!</definedName>
    <definedName name="_32__123Graph_Bｸﾞﾗﾌ_11" localSheetId="0" hidden="1">#REF!</definedName>
    <definedName name="_32__123Graph_Bｸﾞﾗﾌ_11" localSheetId="7" hidden="1">#REF!</definedName>
    <definedName name="_32__123Graph_Bｸﾞﾗﾌ_11" localSheetId="4" hidden="1">#REF!</definedName>
    <definedName name="_32__123Graph_Bｸﾞﾗﾌ_11" hidden="1">#REF!</definedName>
    <definedName name="_33__123Graph_Bｸﾞﾗﾌ_12" localSheetId="0" hidden="1">#REF!</definedName>
    <definedName name="_33__123Graph_Bｸﾞﾗﾌ_12" localSheetId="7" hidden="1">#REF!</definedName>
    <definedName name="_33__123Graph_Bｸﾞﾗﾌ_12" localSheetId="4" hidden="1">#REF!</definedName>
    <definedName name="_33__123Graph_Bｸﾞﾗﾌ_12" hidden="1">#REF!</definedName>
    <definedName name="_34__123Graph_Bｸﾞﾗﾌ_14" localSheetId="0" hidden="1">'[1]表4 工事による揚水量'!#REF!</definedName>
    <definedName name="_34__123Graph_Bｸﾞﾗﾌ_14" localSheetId="7" hidden="1">'[1]表4 工事による揚水量'!#REF!</definedName>
    <definedName name="_34__123Graph_Bｸﾞﾗﾌ_14" localSheetId="4" hidden="1">'[1]表4 工事による揚水量'!#REF!</definedName>
    <definedName name="_34__123Graph_Bｸﾞﾗﾌ_14" hidden="1">'[1]表4 工事による揚水量'!#REF!</definedName>
    <definedName name="_35__123Graph_Bｸﾞﾗﾌ_15" localSheetId="0" hidden="1">#REF!</definedName>
    <definedName name="_35__123Graph_Bｸﾞﾗﾌ_15" localSheetId="7" hidden="1">#REF!</definedName>
    <definedName name="_35__123Graph_Bｸﾞﾗﾌ_15" localSheetId="4" hidden="1">#REF!</definedName>
    <definedName name="_35__123Graph_Bｸﾞﾗﾌ_15" hidden="1">#REF!</definedName>
    <definedName name="_36__123Graph_Bｸﾞﾗﾌ_16" localSheetId="0" hidden="1">#REF!</definedName>
    <definedName name="_36__123Graph_Bｸﾞﾗﾌ_16" localSheetId="7" hidden="1">#REF!</definedName>
    <definedName name="_36__123Graph_Bｸﾞﾗﾌ_16" localSheetId="4" hidden="1">#REF!</definedName>
    <definedName name="_36__123Graph_Bｸﾞﾗﾌ_16" hidden="1">#REF!</definedName>
    <definedName name="_37__123Graph_Bｸﾞﾗﾌ_17" localSheetId="0" hidden="1">#REF!</definedName>
    <definedName name="_37__123Graph_Bｸﾞﾗﾌ_17" localSheetId="7" hidden="1">#REF!</definedName>
    <definedName name="_37__123Graph_Bｸﾞﾗﾌ_17" localSheetId="4" hidden="1">#REF!</definedName>
    <definedName name="_37__123Graph_Bｸﾞﾗﾌ_17" hidden="1">#REF!</definedName>
    <definedName name="_38__123Graph_Bｸﾞﾗﾌ_18" localSheetId="0" hidden="1">#REF!</definedName>
    <definedName name="_38__123Graph_Bｸﾞﾗﾌ_18" localSheetId="7" hidden="1">#REF!</definedName>
    <definedName name="_38__123Graph_Bｸﾞﾗﾌ_18" localSheetId="4" hidden="1">#REF!</definedName>
    <definedName name="_38__123Graph_Bｸﾞﾗﾌ_18" hidden="1">#REF!</definedName>
    <definedName name="_4__123Graph_Aｸﾞﾗﾌ_10" localSheetId="0" hidden="1">#REF!</definedName>
    <definedName name="_4__123Graph_Aｸﾞﾗﾌ_10" localSheetId="7" hidden="1">#REF!</definedName>
    <definedName name="_4__123Graph_Aｸﾞﾗﾌ_10" localSheetId="4" hidden="1">#REF!</definedName>
    <definedName name="_4__123Graph_Aｸﾞﾗﾌ_10" hidden="1">#REF!</definedName>
    <definedName name="_4__123Graph_Aｸﾞﾗﾌ_4" localSheetId="0" hidden="1">#REF!</definedName>
    <definedName name="_4__123Graph_Aｸﾞﾗﾌ_4" localSheetId="7" hidden="1">#REF!</definedName>
    <definedName name="_4__123Graph_Aｸﾞﾗﾌ_4" localSheetId="4" hidden="1">#REF!</definedName>
    <definedName name="_4__123Graph_Aｸﾞﾗﾌ_4" hidden="1">#REF!</definedName>
    <definedName name="_42__123Graph_Bｸﾞﾗﾌ_20" localSheetId="0" hidden="1">'[1]表4 工事による揚水量'!#REF!</definedName>
    <definedName name="_42__123Graph_Bｸﾞﾗﾌ_20" localSheetId="7" hidden="1">'[1]表4 工事による揚水量'!#REF!</definedName>
    <definedName name="_42__123Graph_Bｸﾞﾗﾌ_20" localSheetId="4" hidden="1">'[1]表4 工事による揚水量'!#REF!</definedName>
    <definedName name="_42__123Graph_Bｸﾞﾗﾌ_20" hidden="1">'[1]表4 工事による揚水量'!#REF!</definedName>
    <definedName name="_47__123Graph_Bｸﾞﾗﾌ_5" hidden="1">'[1]図1用途別揚水量(全市分)'!$C$6:$H$6</definedName>
    <definedName name="_48__123Graph_Bｸﾞﾗﾌ_6" localSheetId="0" hidden="1">#REF!</definedName>
    <definedName name="_48__123Graph_Bｸﾞﾗﾌ_6" localSheetId="7" hidden="1">#REF!</definedName>
    <definedName name="_48__123Graph_Bｸﾞﾗﾌ_6" localSheetId="4" hidden="1">#REF!</definedName>
    <definedName name="_48__123Graph_Bｸﾞﾗﾌ_6" hidden="1">#REF!</definedName>
    <definedName name="_49__123Graph_Bｸﾞﾗﾌ_7" localSheetId="0" hidden="1">#REF!</definedName>
    <definedName name="_49__123Graph_Bｸﾞﾗﾌ_7" localSheetId="7" hidden="1">#REF!</definedName>
    <definedName name="_49__123Graph_Bｸﾞﾗﾌ_7" localSheetId="4" hidden="1">#REF!</definedName>
    <definedName name="_49__123Graph_Bｸﾞﾗﾌ_7" hidden="1">#REF!</definedName>
    <definedName name="_5__123Graph_Aｸﾞﾗﾌ_11" localSheetId="0" hidden="1">#REF!</definedName>
    <definedName name="_5__123Graph_Aｸﾞﾗﾌ_11" localSheetId="7" hidden="1">#REF!</definedName>
    <definedName name="_5__123Graph_Aｸﾞﾗﾌ_11" localSheetId="4" hidden="1">#REF!</definedName>
    <definedName name="_5__123Graph_Aｸﾞﾗﾌ_11" hidden="1">#REF!</definedName>
    <definedName name="_5__123Graph_Bｸﾞﾗﾌ_1" localSheetId="0" hidden="1">#REF!</definedName>
    <definedName name="_5__123Graph_Bｸﾞﾗﾌ_1" localSheetId="7" hidden="1">#REF!</definedName>
    <definedName name="_5__123Graph_Bｸﾞﾗﾌ_1" localSheetId="4" hidden="1">#REF!</definedName>
    <definedName name="_5__123Graph_Bｸﾞﾗﾌ_1" hidden="1">#REF!</definedName>
    <definedName name="_50__123Graph_Bｸﾞﾗﾌ_8" localSheetId="0" hidden="1">#REF!</definedName>
    <definedName name="_50__123Graph_Bｸﾞﾗﾌ_8" localSheetId="7" hidden="1">#REF!</definedName>
    <definedName name="_50__123Graph_Bｸﾞﾗﾌ_8" localSheetId="4" hidden="1">#REF!</definedName>
    <definedName name="_50__123Graph_Bｸﾞﾗﾌ_8" hidden="1">#REF!</definedName>
    <definedName name="_52__123Graph_Cｸﾞﾗﾌ_10" localSheetId="0" hidden="1">#REF!</definedName>
    <definedName name="_52__123Graph_Cｸﾞﾗﾌ_10" localSheetId="7" hidden="1">#REF!</definedName>
    <definedName name="_52__123Graph_Cｸﾞﾗﾌ_10" localSheetId="4" hidden="1">#REF!</definedName>
    <definedName name="_52__123Graph_Cｸﾞﾗﾌ_10" hidden="1">#REF!</definedName>
    <definedName name="_53__123Graph_Cｸﾞﾗﾌ_11" localSheetId="0" hidden="1">#REF!</definedName>
    <definedName name="_53__123Graph_Cｸﾞﾗﾌ_11" localSheetId="7" hidden="1">#REF!</definedName>
    <definedName name="_53__123Graph_Cｸﾞﾗﾌ_11" localSheetId="4" hidden="1">#REF!</definedName>
    <definedName name="_53__123Graph_Cｸﾞﾗﾌ_11" hidden="1">#REF!</definedName>
    <definedName name="_54__123Graph_Cｸﾞﾗﾌ_12" localSheetId="0" hidden="1">#REF!</definedName>
    <definedName name="_54__123Graph_Cｸﾞﾗﾌ_12" localSheetId="7" hidden="1">#REF!</definedName>
    <definedName name="_54__123Graph_Cｸﾞﾗﾌ_12" localSheetId="4" hidden="1">#REF!</definedName>
    <definedName name="_54__123Graph_Cｸﾞﾗﾌ_12" hidden="1">#REF!</definedName>
    <definedName name="_55__123Graph_Cｸﾞﾗﾌ_14" localSheetId="0" hidden="1">'[1]表4 工事による揚水量'!#REF!</definedName>
    <definedName name="_55__123Graph_Cｸﾞﾗﾌ_14" localSheetId="7" hidden="1">'[1]表4 工事による揚水量'!#REF!</definedName>
    <definedName name="_55__123Graph_Cｸﾞﾗﾌ_14" localSheetId="4" hidden="1">'[1]表4 工事による揚水量'!#REF!</definedName>
    <definedName name="_55__123Graph_Cｸﾞﾗﾌ_14" hidden="1">'[1]表4 工事による揚水量'!#REF!</definedName>
    <definedName name="_56__123Graph_Cｸﾞﾗﾌ_15" localSheetId="0" hidden="1">#REF!</definedName>
    <definedName name="_56__123Graph_Cｸﾞﾗﾌ_15" localSheetId="7" hidden="1">#REF!</definedName>
    <definedName name="_56__123Graph_Cｸﾞﾗﾌ_15" localSheetId="4" hidden="1">#REF!</definedName>
    <definedName name="_56__123Graph_Cｸﾞﾗﾌ_15" hidden="1">#REF!</definedName>
    <definedName name="_57__123Graph_Cｸﾞﾗﾌ_16" localSheetId="0" hidden="1">#REF!</definedName>
    <definedName name="_57__123Graph_Cｸﾞﾗﾌ_16" localSheetId="7" hidden="1">#REF!</definedName>
    <definedName name="_57__123Graph_Cｸﾞﾗﾌ_16" localSheetId="4" hidden="1">#REF!</definedName>
    <definedName name="_57__123Graph_Cｸﾞﾗﾌ_16" hidden="1">#REF!</definedName>
    <definedName name="_58__123Graph_Cｸﾞﾗﾌ_17" localSheetId="0" hidden="1">#REF!</definedName>
    <definedName name="_58__123Graph_Cｸﾞﾗﾌ_17" localSheetId="7" hidden="1">#REF!</definedName>
    <definedName name="_58__123Graph_Cｸﾞﾗﾌ_17" localSheetId="4" hidden="1">#REF!</definedName>
    <definedName name="_58__123Graph_Cｸﾞﾗﾌ_17" hidden="1">#REF!</definedName>
    <definedName name="_59__123Graph_Cｸﾞﾗﾌ_18" localSheetId="0" hidden="1">#REF!</definedName>
    <definedName name="_59__123Graph_Cｸﾞﾗﾌ_18" localSheetId="7" hidden="1">#REF!</definedName>
    <definedName name="_59__123Graph_Cｸﾞﾗﾌ_18" localSheetId="4" hidden="1">#REF!</definedName>
    <definedName name="_59__123Graph_Cｸﾞﾗﾌ_18" hidden="1">#REF!</definedName>
    <definedName name="_6__123Graph_Aｸﾞﾗﾌ_12" localSheetId="0" hidden="1">#REF!</definedName>
    <definedName name="_6__123Graph_Aｸﾞﾗﾌ_12" localSheetId="7" hidden="1">#REF!</definedName>
    <definedName name="_6__123Graph_Aｸﾞﾗﾌ_12" localSheetId="4" hidden="1">#REF!</definedName>
    <definedName name="_6__123Graph_Aｸﾞﾗﾌ_12" hidden="1">#REF!</definedName>
    <definedName name="_6__123Graph_Bｸﾞﾗﾌ_2" localSheetId="0" hidden="1">#REF!</definedName>
    <definedName name="_6__123Graph_Bｸﾞﾗﾌ_2" localSheetId="7" hidden="1">#REF!</definedName>
    <definedName name="_6__123Graph_Bｸﾞﾗﾌ_2" localSheetId="4" hidden="1">#REF!</definedName>
    <definedName name="_6__123Graph_Bｸﾞﾗﾌ_2" hidden="1">#REF!</definedName>
    <definedName name="_63__123Graph_Cｸﾞﾗﾌ_20" localSheetId="0" hidden="1">'[1]表4 工事による揚水量'!#REF!</definedName>
    <definedName name="_63__123Graph_Cｸﾞﾗﾌ_20" localSheetId="7" hidden="1">'[1]表4 工事による揚水量'!#REF!</definedName>
    <definedName name="_63__123Graph_Cｸﾞﾗﾌ_20" localSheetId="4" hidden="1">'[1]表4 工事による揚水量'!#REF!</definedName>
    <definedName name="_63__123Graph_Cｸﾞﾗﾌ_20" hidden="1">'[1]表4 工事による揚水量'!#REF!</definedName>
    <definedName name="_68__123Graph_Cｸﾞﾗﾌ_5" hidden="1">'[1]図1用途別揚水量(全市分)'!$C$7:$H$7</definedName>
    <definedName name="_69__123Graph_Cｸﾞﾗﾌ_6" localSheetId="0" hidden="1">#REF!</definedName>
    <definedName name="_69__123Graph_Cｸﾞﾗﾌ_6" localSheetId="7" hidden="1">#REF!</definedName>
    <definedName name="_69__123Graph_Cｸﾞﾗﾌ_6" localSheetId="4" hidden="1">#REF!</definedName>
    <definedName name="_69__123Graph_Cｸﾞﾗﾌ_6" hidden="1">#REF!</definedName>
    <definedName name="_7__123Graph_Aｸﾞﾗﾌ_13" localSheetId="0" hidden="1">#REF!</definedName>
    <definedName name="_7__123Graph_Aｸﾞﾗﾌ_13" localSheetId="7" hidden="1">#REF!</definedName>
    <definedName name="_7__123Graph_Aｸﾞﾗﾌ_13" localSheetId="4" hidden="1">#REF!</definedName>
    <definedName name="_7__123Graph_Aｸﾞﾗﾌ_13" hidden="1">#REF!</definedName>
    <definedName name="_7__123Graph_Bｸﾞﾗﾌ_3" localSheetId="0" hidden="1">#REF!</definedName>
    <definedName name="_7__123Graph_Bｸﾞﾗﾌ_3" localSheetId="7" hidden="1">#REF!</definedName>
    <definedName name="_7__123Graph_Bｸﾞﾗﾌ_3" localSheetId="4" hidden="1">#REF!</definedName>
    <definedName name="_7__123Graph_Bｸﾞﾗﾌ_3" hidden="1">#REF!</definedName>
    <definedName name="_70__123Graph_Cｸﾞﾗﾌ_7" localSheetId="0" hidden="1">#REF!</definedName>
    <definedName name="_70__123Graph_Cｸﾞﾗﾌ_7" localSheetId="7" hidden="1">#REF!</definedName>
    <definedName name="_70__123Graph_Cｸﾞﾗﾌ_7" localSheetId="4" hidden="1">#REF!</definedName>
    <definedName name="_70__123Graph_Cｸﾞﾗﾌ_7" hidden="1">#REF!</definedName>
    <definedName name="_71__123Graph_Cｸﾞﾗﾌ_8" localSheetId="0" hidden="1">#REF!</definedName>
    <definedName name="_71__123Graph_Cｸﾞﾗﾌ_8" localSheetId="7" hidden="1">#REF!</definedName>
    <definedName name="_71__123Graph_Cｸﾞﾗﾌ_8" localSheetId="4" hidden="1">#REF!</definedName>
    <definedName name="_71__123Graph_Cｸﾞﾗﾌ_8" hidden="1">#REF!</definedName>
    <definedName name="_73__123Graph_Dｸﾞﾗﾌ_10" localSheetId="0" hidden="1">#REF!</definedName>
    <definedName name="_73__123Graph_Dｸﾞﾗﾌ_10" localSheetId="7" hidden="1">#REF!</definedName>
    <definedName name="_73__123Graph_Dｸﾞﾗﾌ_10" localSheetId="4" hidden="1">#REF!</definedName>
    <definedName name="_73__123Graph_Dｸﾞﾗﾌ_10" hidden="1">#REF!</definedName>
    <definedName name="_74__123Graph_Dｸﾞﾗﾌ_11" localSheetId="0" hidden="1">#REF!</definedName>
    <definedName name="_74__123Graph_Dｸﾞﾗﾌ_11" localSheetId="7" hidden="1">#REF!</definedName>
    <definedName name="_74__123Graph_Dｸﾞﾗﾌ_11" localSheetId="4" hidden="1">#REF!</definedName>
    <definedName name="_74__123Graph_Dｸﾞﾗﾌ_11" hidden="1">#REF!</definedName>
    <definedName name="_75__123Graph_Dｸﾞﾗﾌ_14" localSheetId="0" hidden="1">'[1]表4 工事による揚水量'!#REF!</definedName>
    <definedName name="_75__123Graph_Dｸﾞﾗﾌ_14" localSheetId="7" hidden="1">'[1]表4 工事による揚水量'!#REF!</definedName>
    <definedName name="_75__123Graph_Dｸﾞﾗﾌ_14" localSheetId="4" hidden="1">'[1]表4 工事による揚水量'!#REF!</definedName>
    <definedName name="_75__123Graph_Dｸﾞﾗﾌ_14" hidden="1">'[1]表4 工事による揚水量'!#REF!</definedName>
    <definedName name="_76__123Graph_Dｸﾞﾗﾌ_15" localSheetId="0" hidden="1">#REF!</definedName>
    <definedName name="_76__123Graph_Dｸﾞﾗﾌ_15" localSheetId="7" hidden="1">#REF!</definedName>
    <definedName name="_76__123Graph_Dｸﾞﾗﾌ_15" localSheetId="4" hidden="1">#REF!</definedName>
    <definedName name="_76__123Graph_Dｸﾞﾗﾌ_15" hidden="1">#REF!</definedName>
    <definedName name="_77__123Graph_Dｸﾞﾗﾌ_16" localSheetId="0" hidden="1">#REF!</definedName>
    <definedName name="_77__123Graph_Dｸﾞﾗﾌ_16" localSheetId="7" hidden="1">#REF!</definedName>
    <definedName name="_77__123Graph_Dｸﾞﾗﾌ_16" localSheetId="4" hidden="1">#REF!</definedName>
    <definedName name="_77__123Graph_Dｸﾞﾗﾌ_16" hidden="1">#REF!</definedName>
    <definedName name="_78__123Graph_Dｸﾞﾗﾌ_17" localSheetId="0" hidden="1">#REF!</definedName>
    <definedName name="_78__123Graph_Dｸﾞﾗﾌ_17" localSheetId="7" hidden="1">#REF!</definedName>
    <definedName name="_78__123Graph_Dｸﾞﾗﾌ_17" localSheetId="4" hidden="1">#REF!</definedName>
    <definedName name="_78__123Graph_Dｸﾞﾗﾌ_17" hidden="1">#REF!</definedName>
    <definedName name="_79__123Graph_Dｸﾞﾗﾌ_18" localSheetId="0" hidden="1">#REF!</definedName>
    <definedName name="_79__123Graph_Dｸﾞﾗﾌ_18" localSheetId="7" hidden="1">#REF!</definedName>
    <definedName name="_79__123Graph_Dｸﾞﾗﾌ_18" localSheetId="4" hidden="1">#REF!</definedName>
    <definedName name="_79__123Graph_Dｸﾞﾗﾌ_18" hidden="1">#REF!</definedName>
    <definedName name="_8__123Graph_Aｸﾞﾗﾌ_14" localSheetId="0" hidden="1">'[1]表4 工事による揚水量'!#REF!</definedName>
    <definedName name="_8__123Graph_Aｸﾞﾗﾌ_14" localSheetId="7" hidden="1">'[1]表4 工事による揚水量'!#REF!</definedName>
    <definedName name="_8__123Graph_Aｸﾞﾗﾌ_14" localSheetId="4" hidden="1">'[1]表4 工事による揚水量'!#REF!</definedName>
    <definedName name="_8__123Graph_Aｸﾞﾗﾌ_14" hidden="1">'[1]表4 工事による揚水量'!#REF!</definedName>
    <definedName name="_8__123Graph_Cｸﾞﾗﾌ_1" localSheetId="0" hidden="1">#REF!</definedName>
    <definedName name="_8__123Graph_Cｸﾞﾗﾌ_1" localSheetId="7" hidden="1">#REF!</definedName>
    <definedName name="_8__123Graph_Cｸﾞﾗﾌ_1" localSheetId="4" hidden="1">#REF!</definedName>
    <definedName name="_8__123Graph_Cｸﾞﾗﾌ_1" hidden="1">#REF!</definedName>
    <definedName name="_83__123Graph_Dｸﾞﾗﾌ_20" localSheetId="0" hidden="1">'[1]表4 工事による揚水量'!#REF!</definedName>
    <definedName name="_83__123Graph_Dｸﾞﾗﾌ_20" localSheetId="7" hidden="1">'[1]表4 工事による揚水量'!#REF!</definedName>
    <definedName name="_83__123Graph_Dｸﾞﾗﾌ_20" localSheetId="4" hidden="1">'[1]表4 工事による揚水量'!#REF!</definedName>
    <definedName name="_83__123Graph_Dｸﾞﾗﾌ_20" hidden="1">'[1]表4 工事による揚水量'!#REF!</definedName>
    <definedName name="_88__123Graph_Dｸﾞﾗﾌ_5" hidden="1">'[1]図1用途別揚水量(全市分)'!$C$8:$H$8</definedName>
    <definedName name="_89__123Graph_Dｸﾞﾗﾌ_6" localSheetId="0" hidden="1">#REF!</definedName>
    <definedName name="_89__123Graph_Dｸﾞﾗﾌ_6" localSheetId="7" hidden="1">#REF!</definedName>
    <definedName name="_89__123Graph_Dｸﾞﾗﾌ_6" localSheetId="4" hidden="1">#REF!</definedName>
    <definedName name="_89__123Graph_Dｸﾞﾗﾌ_6" hidden="1">#REF!</definedName>
    <definedName name="_9__123Graph_Aｸﾞﾗﾌ_15" localSheetId="0" hidden="1">#REF!</definedName>
    <definedName name="_9__123Graph_Aｸﾞﾗﾌ_15" localSheetId="7" hidden="1">#REF!</definedName>
    <definedName name="_9__123Graph_Aｸﾞﾗﾌ_15" localSheetId="4" hidden="1">#REF!</definedName>
    <definedName name="_9__123Graph_Aｸﾞﾗﾌ_15" hidden="1">#REF!</definedName>
    <definedName name="_9__123Graph_Cｸﾞﾗﾌ_2" localSheetId="0" hidden="1">#REF!</definedName>
    <definedName name="_9__123Graph_Cｸﾞﾗﾌ_2" localSheetId="7" hidden="1">#REF!</definedName>
    <definedName name="_9__123Graph_Cｸﾞﾗﾌ_2" localSheetId="4" hidden="1">#REF!</definedName>
    <definedName name="_9__123Graph_Cｸﾞﾗﾌ_2" hidden="1">#REF!</definedName>
    <definedName name="_90__123Graph_Dｸﾞﾗﾌ_7" localSheetId="0" hidden="1">#REF!</definedName>
    <definedName name="_90__123Graph_Dｸﾞﾗﾌ_7" localSheetId="7" hidden="1">#REF!</definedName>
    <definedName name="_90__123Graph_Dｸﾞﾗﾌ_7" localSheetId="4" hidden="1">#REF!</definedName>
    <definedName name="_90__123Graph_Dｸﾞﾗﾌ_7" hidden="1">#REF!</definedName>
    <definedName name="_91__123Graph_Dｸﾞﾗﾌ_8" localSheetId="0" hidden="1">#REF!</definedName>
    <definedName name="_91__123Graph_Dｸﾞﾗﾌ_8" localSheetId="7" hidden="1">#REF!</definedName>
    <definedName name="_91__123Graph_Dｸﾞﾗﾌ_8" localSheetId="4" hidden="1">#REF!</definedName>
    <definedName name="_91__123Graph_Dｸﾞﾗﾌ_8" hidden="1">#REF!</definedName>
    <definedName name="_92__123Graph_Eｸﾞﾗﾌ_10" localSheetId="0" hidden="1">#REF!</definedName>
    <definedName name="_92__123Graph_Eｸﾞﾗﾌ_10" localSheetId="7" hidden="1">#REF!</definedName>
    <definedName name="_92__123Graph_Eｸﾞﾗﾌ_10" localSheetId="4" hidden="1">#REF!</definedName>
    <definedName name="_92__123Graph_Eｸﾞﾗﾌ_10" hidden="1">#REF!</definedName>
    <definedName name="_93__123Graph_Eｸﾞﾗﾌ_11" localSheetId="0" hidden="1">#REF!</definedName>
    <definedName name="_93__123Graph_Eｸﾞﾗﾌ_11" localSheetId="7" hidden="1">#REF!</definedName>
    <definedName name="_93__123Graph_Eｸﾞﾗﾌ_11" localSheetId="4" hidden="1">#REF!</definedName>
    <definedName name="_93__123Graph_Eｸﾞﾗﾌ_11" hidden="1">#REF!</definedName>
    <definedName name="_94__123Graph_Eｸﾞﾗﾌ_14" localSheetId="0" hidden="1">'[1]表4 工事による揚水量'!#REF!</definedName>
    <definedName name="_94__123Graph_Eｸﾞﾗﾌ_14" localSheetId="7" hidden="1">'[1]表4 工事による揚水量'!#REF!</definedName>
    <definedName name="_94__123Graph_Eｸﾞﾗﾌ_14" localSheetId="4" hidden="1">'[1]表4 工事による揚水量'!#REF!</definedName>
    <definedName name="_94__123Graph_Eｸﾞﾗﾌ_14" hidden="1">'[1]表4 工事による揚水量'!#REF!</definedName>
    <definedName name="_95__123Graph_Eｸﾞﾗﾌ_16" localSheetId="0" hidden="1">#REF!</definedName>
    <definedName name="_95__123Graph_Eｸﾞﾗﾌ_16" localSheetId="7" hidden="1">#REF!</definedName>
    <definedName name="_95__123Graph_Eｸﾞﾗﾌ_16" localSheetId="4" hidden="1">#REF!</definedName>
    <definedName name="_95__123Graph_Eｸﾞﾗﾌ_16" hidden="1">#REF!</definedName>
    <definedName name="_96__123Graph_Eｸﾞﾗﾌ_17" localSheetId="0" hidden="1">#REF!</definedName>
    <definedName name="_96__123Graph_Eｸﾞﾗﾌ_17" localSheetId="7" hidden="1">#REF!</definedName>
    <definedName name="_96__123Graph_Eｸﾞﾗﾌ_17" localSheetId="4" hidden="1">#REF!</definedName>
    <definedName name="_96__123Graph_Eｸﾞﾗﾌ_17" hidden="1">#REF!</definedName>
    <definedName name="_97__123Graph_Eｸﾞﾗﾌ_18" localSheetId="0" hidden="1">#REF!</definedName>
    <definedName name="_97__123Graph_Eｸﾞﾗﾌ_18" localSheetId="7" hidden="1">#REF!</definedName>
    <definedName name="_97__123Graph_Eｸﾞﾗﾌ_18" localSheetId="4" hidden="1">#REF!</definedName>
    <definedName name="_97__123Graph_Eｸﾞﾗﾌ_18" hidden="1">#REF!</definedName>
    <definedName name="_99__123Graph_Eｸﾞﾗﾌ_2" localSheetId="0" hidden="1">'[1]図1用途別揚水量(全市分)'!#REF!</definedName>
    <definedName name="_99__123Graph_Eｸﾞﾗﾌ_2" localSheetId="7" hidden="1">'[1]図1用途別揚水量(全市分)'!#REF!</definedName>
    <definedName name="_99__123Graph_Eｸﾞﾗﾌ_2" localSheetId="4" hidden="1">'[1]図1用途別揚水量(全市分)'!#REF!</definedName>
    <definedName name="_99__123Graph_Eｸﾞﾗﾌ_2" hidden="1">'[1]図1用途別揚水量(全市分)'!#REF!</definedName>
    <definedName name="_xlnm._FilterDatabase" localSheetId="0" hidden="1">【閲覧用】成果表!$A$4:$AN$145</definedName>
    <definedName name="_xlnm._FilterDatabase" localSheetId="9" hidden="1">【参考】測量データ!#REF!</definedName>
    <definedName name="_xlnm._FilterDatabase" localSheetId="6" hidden="1">【全期間】成果表実測値!$A$4:$BN$147</definedName>
    <definedName name="_xlnm._FilterDatabase" localSheetId="8" hidden="1">'【全期間】成果表実測値 (2)'!$A$4:$BO$147</definedName>
    <definedName name="_xlnm._FilterDatabase" localSheetId="7" hidden="1">【全期間】成果表単年値!$A$4:$BJ$145</definedName>
    <definedName name="_xlnm._FilterDatabase" localSheetId="1" hidden="1">'【別紙1】標高（入力）'!$A$4:$AG$145</definedName>
    <definedName name="_Key1" localSheetId="0" hidden="1">#REF!</definedName>
    <definedName name="_Key1" localSheetId="7" hidden="1">#REF!</definedName>
    <definedName name="_Key1" localSheetId="2" hidden="1">[3]区別事業場!$L$46:$L$55</definedName>
    <definedName name="_Key1" localSheetId="3" hidden="1">[3]区別事業場!$L$46:$L$55</definedName>
    <definedName name="_Key1" localSheetId="4" hidden="1">#REF!</definedName>
    <definedName name="_Key1" hidden="1">#REF!</definedName>
    <definedName name="_Order1" hidden="1">0</definedName>
    <definedName name="_Regression_Int" localSheetId="13" hidden="1">1</definedName>
    <definedName name="_Sort" localSheetId="0" hidden="1">#REF!</definedName>
    <definedName name="_Sort" localSheetId="7" hidden="1">#REF!</definedName>
    <definedName name="_Sort" localSheetId="2" hidden="1">[3]区別事業場!$A$46:$L$55</definedName>
    <definedName name="_Sort" localSheetId="3" hidden="1">[3]区別事業場!$A$46:$L$55</definedName>
    <definedName name="_Sort" localSheetId="4" hidden="1">#REF!</definedName>
    <definedName name="_Sort" hidden="1">#REF!</definedName>
    <definedName name="_xlnm.Print_Area" localSheetId="0">【閲覧用】成果表!$A$1:$AN$145</definedName>
    <definedName name="_xlnm.Print_Area" localSheetId="9">【参考】測量データ!$A$1:$BC$55</definedName>
    <definedName name="_xlnm.Print_Area" localSheetId="6">【全期間】成果表実測値!$A$1:$BN$145</definedName>
    <definedName name="_xlnm.Print_Area" localSheetId="8">'【全期間】成果表実測値 (2)'!$A$1:$BO$145</definedName>
    <definedName name="_xlnm.Print_Area" localSheetId="7">【全期間】成果表単年値!$A$1:$BJ$145</definedName>
    <definedName name="_xlnm.Print_Area" localSheetId="1">'【別紙1】標高（入力）'!$A$3:$O$145</definedName>
    <definedName name="_xlnm.Print_Area" localSheetId="2">【別紙2】まとめ!$A$1:$I$23</definedName>
    <definedName name="_xlnm.Print_Area" localSheetId="3">'【別紙2】まとめ (2)'!$A$1:$I$23</definedName>
    <definedName name="_xlnm.Print_Area" localSheetId="4">'【別紙３】沈下4地区（グラフ）'!$A$1:$J$57</definedName>
    <definedName name="_xlnm.Print_Area" localSheetId="10">'×【別紙3】沈下20地点（グラフ）'!$B$1:$M$41</definedName>
    <definedName name="_xlnm.Print_Area">'[4]39地点BOD経変化'!$A$2:$I$45</definedName>
    <definedName name="_xlnm.Print_Titles" localSheetId="0">【閲覧用】成果表!$1:$4</definedName>
    <definedName name="_xlnm.Print_Titles" localSheetId="9">【参考】測量データ!$A:$C</definedName>
    <definedName name="_xlnm.Print_Titles" localSheetId="6">【全期間】成果表実測値!$1:$4</definedName>
    <definedName name="_xlnm.Print_Titles" localSheetId="8">'【全期間】成果表実測値 (2)'!$1:$4</definedName>
    <definedName name="_xlnm.Print_Titles" localSheetId="7">【全期間】成果表単年値!$1:$4</definedName>
    <definedName name="_xlnm.Print_Titles" localSheetId="1">'【別紙1】標高（入力）'!$3:$4</definedName>
    <definedName name="_xlnm.Print_Titles" localSheetId="10">'×【別紙3】沈下20地点（グラフ）'!$1:$1</definedName>
    <definedName name="推進課自動車グラフ" hidden="1">'[5]BODﾃﾞｰﾀ（図2-36～図2-39）'!$J$37:$AF$37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 a="1"/>
  <c r="N5" i="5" s="1"/>
  <c r="AJ2" i="5"/>
  <c r="AI2" i="5"/>
  <c r="AI5" i="5"/>
  <c r="BC151" i="22"/>
  <c r="BB151" i="22"/>
  <c r="BA151" i="22"/>
  <c r="AZ151" i="22"/>
  <c r="AY151" i="22"/>
  <c r="BC150" i="22"/>
  <c r="BB150" i="22"/>
  <c r="BA150" i="22"/>
  <c r="AZ150" i="22"/>
  <c r="AY150" i="22"/>
  <c r="BL133" i="22"/>
  <c r="BK133" i="22"/>
  <c r="BL127" i="22"/>
  <c r="BK127" i="22"/>
  <c r="BL125" i="22"/>
  <c r="BK125" i="22"/>
  <c r="BL123" i="22"/>
  <c r="BK123" i="22"/>
  <c r="BL108" i="22"/>
  <c r="BK108" i="22"/>
  <c r="BL103" i="22"/>
  <c r="BK103" i="22"/>
  <c r="BL95" i="22"/>
  <c r="BK95" i="22"/>
  <c r="BL93" i="22"/>
  <c r="BK93" i="22"/>
  <c r="BL86" i="22"/>
  <c r="BK86" i="22"/>
  <c r="BL75" i="22"/>
  <c r="BK75" i="22"/>
  <c r="BL68" i="22"/>
  <c r="BK68" i="22"/>
  <c r="BL66" i="22"/>
  <c r="BK66" i="22"/>
  <c r="BL65" i="22"/>
  <c r="BK65" i="22"/>
  <c r="BL62" i="22"/>
  <c r="BK62" i="22"/>
  <c r="BL47" i="22"/>
  <c r="BK47" i="22"/>
  <c r="BL32" i="22"/>
  <c r="BK32" i="22"/>
  <c r="BL26" i="22"/>
  <c r="BK26" i="22"/>
  <c r="BL16" i="22"/>
  <c r="BK16" i="22"/>
  <c r="BK12" i="22"/>
  <c r="AJ141" i="5"/>
  <c r="AJ145" i="5"/>
  <c r="AJ139" i="5"/>
  <c r="AJ140" i="5"/>
  <c r="AJ142" i="5"/>
  <c r="AJ143" i="5"/>
  <c r="AJ144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6" i="5"/>
  <c r="AJ5" i="5"/>
  <c r="AI145" i="5"/>
  <c r="AI140" i="5"/>
  <c r="AI141" i="5"/>
  <c r="AI142" i="5"/>
  <c r="AI143" i="5"/>
  <c r="AI144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6" i="5"/>
  <c r="AH13" i="5"/>
  <c r="AG13" i="5"/>
  <c r="AH11" i="5"/>
  <c r="AN6" i="5" a="1"/>
  <c r="AN6" i="5"/>
  <c r="AN7" i="5" a="1"/>
  <c r="AN7" i="5"/>
  <c r="AN8" i="5" a="1"/>
  <c r="AN8" i="5"/>
  <c r="AN9" i="5" a="1"/>
  <c r="AN9" i="5"/>
  <c r="AN10" i="5" a="1"/>
  <c r="AN10" i="5"/>
  <c r="AN11" i="5" a="1"/>
  <c r="AN11" i="5"/>
  <c r="AN12" i="5" a="1"/>
  <c r="AN12" i="5"/>
  <c r="AN13" i="5" a="1"/>
  <c r="AN13" i="5"/>
  <c r="AN14" i="5" a="1"/>
  <c r="AN14" i="5"/>
  <c r="AN15" i="5" a="1"/>
  <c r="AN15" i="5"/>
  <c r="AN16" i="5" a="1"/>
  <c r="AN16" i="5"/>
  <c r="AN17" i="5" a="1"/>
  <c r="AN17" i="5"/>
  <c r="AN18" i="5" a="1"/>
  <c r="AN18" i="5"/>
  <c r="AN19" i="5" a="1"/>
  <c r="AN19" i="5"/>
  <c r="AN20" i="5" a="1"/>
  <c r="AN20" i="5"/>
  <c r="AN21" i="5" a="1"/>
  <c r="AN21" i="5"/>
  <c r="AN22" i="5" a="1"/>
  <c r="AN22" i="5"/>
  <c r="AN23" i="5" a="1"/>
  <c r="AN23" i="5"/>
  <c r="AN24" i="5" a="1"/>
  <c r="AN24" i="5"/>
  <c r="AN25" i="5" a="1"/>
  <c r="AN25" i="5"/>
  <c r="AN26" i="5" a="1"/>
  <c r="AN26" i="5"/>
  <c r="AN27" i="5" a="1"/>
  <c r="AN27" i="5"/>
  <c r="AN28" i="5" a="1"/>
  <c r="AN28" i="5"/>
  <c r="AN29" i="5" a="1"/>
  <c r="AN29" i="5"/>
  <c r="AN30" i="5" a="1"/>
  <c r="AN30" i="5"/>
  <c r="AN31" i="5" a="1"/>
  <c r="AN31" i="5"/>
  <c r="AN32" i="5" a="1"/>
  <c r="AN32" i="5"/>
  <c r="AN33" i="5" a="1"/>
  <c r="AN33" i="5"/>
  <c r="AN34" i="5" a="1"/>
  <c r="AN34" i="5"/>
  <c r="AN35" i="5" a="1"/>
  <c r="AN35" i="5"/>
  <c r="AN36" i="5" a="1"/>
  <c r="AN36" i="5"/>
  <c r="AN37" i="5" a="1"/>
  <c r="AN37" i="5"/>
  <c r="AN38" i="5" a="1"/>
  <c r="AN38" i="5"/>
  <c r="AN39" i="5" a="1"/>
  <c r="AN39" i="5"/>
  <c r="AN40" i="5" a="1"/>
  <c r="AN40" i="5"/>
  <c r="AN41" i="5" a="1"/>
  <c r="AN41" i="5"/>
  <c r="AN42" i="5" a="1"/>
  <c r="AN42" i="5"/>
  <c r="AN43" i="5" a="1"/>
  <c r="AN43" i="5"/>
  <c r="AN44" i="5" a="1"/>
  <c r="AN44" i="5"/>
  <c r="AN45" i="5" a="1"/>
  <c r="AN45" i="5"/>
  <c r="AN46" i="5" a="1"/>
  <c r="AN46" i="5"/>
  <c r="AN47" i="5" a="1"/>
  <c r="AN47" i="5"/>
  <c r="AN48" i="5" a="1"/>
  <c r="AN48" i="5"/>
  <c r="AN49" i="5" a="1"/>
  <c r="AN49" i="5"/>
  <c r="AN50" i="5" a="1"/>
  <c r="AN50" i="5"/>
  <c r="AN51" i="5" a="1"/>
  <c r="AN51" i="5"/>
  <c r="AN52" i="5" a="1"/>
  <c r="AN52" i="5"/>
  <c r="AN53" i="5" a="1"/>
  <c r="AN53" i="5"/>
  <c r="AN54" i="5" a="1"/>
  <c r="AN54" i="5"/>
  <c r="AN55" i="5" a="1"/>
  <c r="AN55" i="5"/>
  <c r="AN56" i="5" a="1"/>
  <c r="AN56" i="5"/>
  <c r="AN57" i="5" a="1"/>
  <c r="AN57" i="5"/>
  <c r="AN58" i="5" a="1"/>
  <c r="AN58" i="5"/>
  <c r="AN59" i="5" a="1"/>
  <c r="AN59" i="5"/>
  <c r="AN60" i="5" a="1"/>
  <c r="AN60" i="5"/>
  <c r="AN61" i="5" a="1"/>
  <c r="AN61" i="5"/>
  <c r="AN62" i="5" a="1"/>
  <c r="AN62" i="5"/>
  <c r="AN63" i="5" a="1"/>
  <c r="AN63" i="5"/>
  <c r="AN64" i="5" a="1"/>
  <c r="AN64" i="5"/>
  <c r="AN65" i="5" a="1"/>
  <c r="AN65" i="5"/>
  <c r="AN66" i="5" a="1"/>
  <c r="AN66" i="5"/>
  <c r="AN67" i="5" a="1"/>
  <c r="AN67" i="5"/>
  <c r="AN68" i="5" a="1"/>
  <c r="AN68" i="5"/>
  <c r="AN69" i="5" a="1"/>
  <c r="AN69" i="5"/>
  <c r="AN70" i="5" a="1"/>
  <c r="AN70" i="5"/>
  <c r="AN71" i="5" a="1"/>
  <c r="AN71" i="5"/>
  <c r="AN72" i="5" a="1"/>
  <c r="AN72" i="5"/>
  <c r="AN73" i="5" a="1"/>
  <c r="AN73" i="5"/>
  <c r="AN74" i="5" a="1"/>
  <c r="AN74" i="5"/>
  <c r="AN75" i="5" a="1"/>
  <c r="AN75" i="5"/>
  <c r="AN76" i="5" a="1"/>
  <c r="AN76" i="5"/>
  <c r="AN77" i="5" a="1"/>
  <c r="AN77" i="5"/>
  <c r="AN78" i="5" a="1"/>
  <c r="AN78" i="5"/>
  <c r="AN79" i="5" a="1"/>
  <c r="AN79" i="5"/>
  <c r="AN80" i="5" a="1"/>
  <c r="AN80" i="5"/>
  <c r="AN81" i="5" a="1"/>
  <c r="AN81" i="5"/>
  <c r="AN82" i="5" a="1"/>
  <c r="AN82" i="5"/>
  <c r="AN83" i="5" a="1"/>
  <c r="AN83" i="5"/>
  <c r="AN84" i="5" a="1"/>
  <c r="AN84" i="5"/>
  <c r="AN85" i="5" a="1"/>
  <c r="AN85" i="5"/>
  <c r="AN86" i="5" a="1"/>
  <c r="AN86" i="5"/>
  <c r="AN87" i="5" a="1"/>
  <c r="AN87" i="5"/>
  <c r="AN88" i="5" a="1"/>
  <c r="AN88" i="5"/>
  <c r="AN89" i="5" a="1"/>
  <c r="AN89" i="5"/>
  <c r="AN90" i="5" a="1"/>
  <c r="AN90" i="5"/>
  <c r="AN91" i="5" a="1"/>
  <c r="AN91" i="5"/>
  <c r="AN92" i="5" a="1"/>
  <c r="AN92" i="5"/>
  <c r="AN93" i="5" a="1"/>
  <c r="AN93" i="5"/>
  <c r="AN94" i="5" a="1"/>
  <c r="AN94" i="5"/>
  <c r="AN95" i="5" a="1"/>
  <c r="AN95" i="5"/>
  <c r="AN96" i="5" a="1"/>
  <c r="AN96" i="5"/>
  <c r="AN97" i="5" a="1"/>
  <c r="AN97" i="5"/>
  <c r="AN98" i="5" a="1"/>
  <c r="AN98" i="5"/>
  <c r="AN99" i="5" a="1"/>
  <c r="AN99" i="5"/>
  <c r="AN100" i="5" a="1"/>
  <c r="AN100" i="5"/>
  <c r="AN101" i="5" a="1"/>
  <c r="AN101" i="5"/>
  <c r="AN102" i="5" a="1"/>
  <c r="AN102" i="5"/>
  <c r="AN103" i="5" a="1"/>
  <c r="AN103" i="5"/>
  <c r="AN104" i="5" a="1"/>
  <c r="AN104" i="5"/>
  <c r="AN105" i="5" a="1"/>
  <c r="AN105" i="5"/>
  <c r="AN106" i="5" a="1"/>
  <c r="AN106" i="5"/>
  <c r="AN107" i="5" a="1"/>
  <c r="AN107" i="5"/>
  <c r="AN108" i="5" a="1"/>
  <c r="AN108" i="5"/>
  <c r="AN109" i="5" a="1"/>
  <c r="AN109" i="5"/>
  <c r="AN110" i="5" a="1"/>
  <c r="AN110" i="5"/>
  <c r="AN111" i="5" a="1"/>
  <c r="AN111" i="5"/>
  <c r="AN112" i="5" a="1"/>
  <c r="AN112" i="5"/>
  <c r="AN113" i="5" a="1"/>
  <c r="AN113" i="5"/>
  <c r="AN114" i="5" a="1"/>
  <c r="AN114" i="5"/>
  <c r="AN115" i="5" a="1"/>
  <c r="AN115" i="5"/>
  <c r="AN116" i="5" a="1"/>
  <c r="AN116" i="5"/>
  <c r="AN117" i="5" a="1"/>
  <c r="AN117" i="5"/>
  <c r="AN118" i="5" a="1"/>
  <c r="AN118" i="5"/>
  <c r="AN119" i="5" a="1"/>
  <c r="AN119" i="5"/>
  <c r="AN120" i="5" a="1"/>
  <c r="AN120" i="5"/>
  <c r="AN121" i="5" a="1"/>
  <c r="AN121" i="5"/>
  <c r="AN122" i="5" a="1"/>
  <c r="AN122" i="5"/>
  <c r="AN123" i="5" a="1"/>
  <c r="AN123" i="5"/>
  <c r="AN124" i="5" a="1"/>
  <c r="AN124" i="5"/>
  <c r="AN125" i="5" a="1"/>
  <c r="AN125" i="5"/>
  <c r="AN126" i="5" a="1"/>
  <c r="AN126" i="5"/>
  <c r="AN127" i="5" a="1"/>
  <c r="AN127" i="5"/>
  <c r="AN128" i="5" a="1"/>
  <c r="AN128" i="5"/>
  <c r="AN129" i="5" a="1"/>
  <c r="AN129" i="5"/>
  <c r="AN130" i="5" a="1"/>
  <c r="AN130" i="5"/>
  <c r="AN131" i="5" a="1"/>
  <c r="AN131" i="5"/>
  <c r="AN132" i="5" a="1"/>
  <c r="AN132" i="5"/>
  <c r="AN133" i="5" a="1"/>
  <c r="AN133" i="5"/>
  <c r="AN134" i="5" a="1"/>
  <c r="AN134" i="5"/>
  <c r="AN135" i="5" a="1"/>
  <c r="AN135" i="5"/>
  <c r="AN136" i="5" a="1"/>
  <c r="AN136" i="5"/>
  <c r="AN137" i="5" a="1"/>
  <c r="AN137" i="5"/>
  <c r="AN138" i="5" a="1"/>
  <c r="AN138" i="5"/>
  <c r="AN139" i="5" a="1"/>
  <c r="AN139" i="5"/>
  <c r="AN140" i="5" a="1"/>
  <c r="AN140" i="5"/>
  <c r="AN141" i="5" a="1"/>
  <c r="AN141" i="5"/>
  <c r="AN142" i="5" a="1"/>
  <c r="AN142" i="5"/>
  <c r="AN143" i="5" a="1"/>
  <c r="AN143" i="5"/>
  <c r="AN144" i="5" a="1"/>
  <c r="AN144" i="5"/>
  <c r="AN145" i="5" a="1"/>
  <c r="AN145" i="5"/>
  <c r="AN5" i="5" a="1"/>
  <c r="AN5" i="5"/>
  <c r="AM5" i="5" a="1"/>
  <c r="AM5" i="5"/>
  <c r="AO5" i="5" a="1"/>
  <c r="AO5" i="5" s="1"/>
  <c r="AP5" i="5" a="1"/>
  <c r="AP5" i="5" s="1"/>
  <c r="AM6" i="5" a="1"/>
  <c r="AM6" i="5"/>
  <c r="AM7" i="5" a="1"/>
  <c r="AM7" i="5"/>
  <c r="AM8" i="5" a="1"/>
  <c r="AM8" i="5"/>
  <c r="AM9" i="5" a="1"/>
  <c r="AM9" i="5"/>
  <c r="AM10" i="5" a="1"/>
  <c r="AM10" i="5"/>
  <c r="AM11" i="5" a="1"/>
  <c r="AM11" i="5"/>
  <c r="AM12" i="5" a="1"/>
  <c r="AM12" i="5"/>
  <c r="AM13" i="5" a="1"/>
  <c r="AM13" i="5"/>
  <c r="AM14" i="5" a="1"/>
  <c r="AM14" i="5"/>
  <c r="AM15" i="5" a="1"/>
  <c r="AM15" i="5"/>
  <c r="AM16" i="5" a="1"/>
  <c r="AM16" i="5"/>
  <c r="AM17" i="5" a="1"/>
  <c r="AM17" i="5"/>
  <c r="AM18" i="5" a="1"/>
  <c r="AM18" i="5"/>
  <c r="AM19" i="5" a="1"/>
  <c r="AM19" i="5"/>
  <c r="AM20" i="5" a="1"/>
  <c r="AM20" i="5"/>
  <c r="AM21" i="5" a="1"/>
  <c r="AM21" i="5"/>
  <c r="AM22" i="5" a="1"/>
  <c r="AM22" i="5"/>
  <c r="AM23" i="5" a="1"/>
  <c r="AM23" i="5"/>
  <c r="AM24" i="5" a="1"/>
  <c r="AM24" i="5"/>
  <c r="AM25" i="5" a="1"/>
  <c r="AM25" i="5"/>
  <c r="AM26" i="5" a="1"/>
  <c r="AM26" i="5"/>
  <c r="AM27" i="5" a="1"/>
  <c r="AM27" i="5" s="1"/>
  <c r="AM28" i="5" a="1"/>
  <c r="AM28" i="5"/>
  <c r="AM29" i="5" a="1"/>
  <c r="AM29" i="5"/>
  <c r="AM30" i="5" a="1"/>
  <c r="AM30" i="5"/>
  <c r="AM31" i="5" a="1"/>
  <c r="AM31" i="5"/>
  <c r="AM32" i="5" a="1"/>
  <c r="AM32" i="5"/>
  <c r="AM33" i="5" a="1"/>
  <c r="AM33" i="5"/>
  <c r="AM34" i="5" a="1"/>
  <c r="AM34" i="5"/>
  <c r="AM35" i="5" a="1"/>
  <c r="AM35" i="5"/>
  <c r="AM36" i="5" a="1"/>
  <c r="AM36" i="5"/>
  <c r="AM37" i="5" a="1"/>
  <c r="AM37" i="5"/>
  <c r="AM38" i="5" a="1"/>
  <c r="AM38" i="5"/>
  <c r="AM39" i="5" a="1"/>
  <c r="AM39" i="5"/>
  <c r="AM40" i="5" a="1"/>
  <c r="AM40" i="5"/>
  <c r="AM41" i="5" a="1"/>
  <c r="AM41" i="5"/>
  <c r="AM42" i="5" a="1"/>
  <c r="AM42" i="5"/>
  <c r="AM43" i="5" a="1"/>
  <c r="AM43" i="5"/>
  <c r="AM44" i="5" a="1"/>
  <c r="AM44" i="5"/>
  <c r="AM45" i="5" a="1"/>
  <c r="AM45" i="5"/>
  <c r="AM46" i="5" a="1"/>
  <c r="AM46" i="5"/>
  <c r="AM47" i="5" a="1"/>
  <c r="AM47" i="5"/>
  <c r="AM48" i="5" a="1"/>
  <c r="AM48" i="5"/>
  <c r="AM49" i="5" a="1"/>
  <c r="AM49" i="5"/>
  <c r="AM50" i="5" a="1"/>
  <c r="AM50" i="5"/>
  <c r="AM51" i="5" a="1"/>
  <c r="AM51" i="5"/>
  <c r="AM52" i="5" a="1"/>
  <c r="AM52" i="5"/>
  <c r="AM53" i="5" a="1"/>
  <c r="AM53" i="5"/>
  <c r="AM54" i="5" a="1"/>
  <c r="AM54" i="5"/>
  <c r="AM55" i="5" a="1"/>
  <c r="AM55" i="5"/>
  <c r="AM56" i="5" a="1"/>
  <c r="AM56" i="5"/>
  <c r="AM57" i="5" a="1"/>
  <c r="AM57" i="5"/>
  <c r="AM58" i="5" a="1"/>
  <c r="AM58" i="5"/>
  <c r="AM59" i="5" a="1"/>
  <c r="AM59" i="5"/>
  <c r="AM60" i="5" a="1"/>
  <c r="AM60" i="5"/>
  <c r="AM61" i="5" a="1"/>
  <c r="AM61" i="5"/>
  <c r="AM62" i="5" a="1"/>
  <c r="AM62" i="5"/>
  <c r="AM63" i="5" a="1"/>
  <c r="AM63" i="5"/>
  <c r="AM64" i="5" a="1"/>
  <c r="AM64" i="5"/>
  <c r="AM65" i="5" a="1"/>
  <c r="AM65" i="5"/>
  <c r="AM66" i="5" a="1"/>
  <c r="AM66" i="5"/>
  <c r="AM67" i="5" a="1"/>
  <c r="AM67" i="5"/>
  <c r="AM68" i="5" a="1"/>
  <c r="AM68" i="5"/>
  <c r="AM69" i="5" a="1"/>
  <c r="AM69" i="5"/>
  <c r="AM70" i="5" a="1"/>
  <c r="AM70" i="5"/>
  <c r="AM71" i="5" a="1"/>
  <c r="AM71" i="5"/>
  <c r="AM72" i="5" a="1"/>
  <c r="AM72" i="5"/>
  <c r="AM73" i="5" a="1"/>
  <c r="AM73" i="5"/>
  <c r="AM74" i="5" a="1"/>
  <c r="AM74" i="5"/>
  <c r="AM75" i="5" a="1"/>
  <c r="AM75" i="5"/>
  <c r="AM76" i="5" a="1"/>
  <c r="AM76" i="5"/>
  <c r="AM77" i="5" a="1"/>
  <c r="AM77" i="5"/>
  <c r="AM78" i="5" a="1"/>
  <c r="AM78" i="5"/>
  <c r="AM79" i="5" a="1"/>
  <c r="AM79" i="5"/>
  <c r="AM80" i="5" a="1"/>
  <c r="AM80" i="5"/>
  <c r="AM81" i="5" a="1"/>
  <c r="AM81" i="5"/>
  <c r="AM82" i="5" a="1"/>
  <c r="AM82" i="5"/>
  <c r="AM83" i="5" a="1"/>
  <c r="AM83" i="5"/>
  <c r="AM84" i="5" a="1"/>
  <c r="AM84" i="5"/>
  <c r="AM85" i="5" a="1"/>
  <c r="AM85" i="5"/>
  <c r="AM86" i="5" a="1"/>
  <c r="AM86" i="5"/>
  <c r="AM87" i="5" a="1"/>
  <c r="AM87" i="5"/>
  <c r="AM88" i="5" a="1"/>
  <c r="AM88" i="5"/>
  <c r="AM89" i="5" a="1"/>
  <c r="AM89" i="5"/>
  <c r="AM90" i="5" a="1"/>
  <c r="AM90" i="5"/>
  <c r="AM91" i="5" a="1"/>
  <c r="AM91" i="5"/>
  <c r="AM92" i="5" a="1"/>
  <c r="AM92" i="5"/>
  <c r="AM93" i="5" a="1"/>
  <c r="AM93" i="5"/>
  <c r="AM94" i="5" a="1"/>
  <c r="AM94" i="5"/>
  <c r="AM95" i="5" a="1"/>
  <c r="AM95" i="5"/>
  <c r="AM96" i="5" a="1"/>
  <c r="AM96" i="5"/>
  <c r="AM97" i="5" a="1"/>
  <c r="AM97" i="5"/>
  <c r="AM98" i="5" a="1"/>
  <c r="AM98" i="5"/>
  <c r="AM99" i="5" a="1"/>
  <c r="AM99" i="5"/>
  <c r="AM100" i="5" a="1"/>
  <c r="AM100" i="5"/>
  <c r="AM101" i="5" a="1"/>
  <c r="AM101" i="5"/>
  <c r="AM102" i="5" a="1"/>
  <c r="AM102" i="5" s="1"/>
  <c r="AM103" i="5" a="1"/>
  <c r="AM103" i="5"/>
  <c r="AM104" i="5" a="1"/>
  <c r="AM104" i="5"/>
  <c r="AM105" i="5" a="1"/>
  <c r="AM105" i="5"/>
  <c r="AM106" i="5" a="1"/>
  <c r="AM106" i="5" s="1"/>
  <c r="AM107" i="5" a="1"/>
  <c r="AM107" i="5"/>
  <c r="AM108" i="5" a="1"/>
  <c r="AM108" i="5"/>
  <c r="AM109" i="5" a="1"/>
  <c r="AM109" i="5"/>
  <c r="AM110" i="5" a="1"/>
  <c r="AM110" i="5" s="1"/>
  <c r="AM111" i="5" a="1"/>
  <c r="AM111" i="5"/>
  <c r="AM112" i="5" a="1"/>
  <c r="AM112" i="5"/>
  <c r="AM113" i="5" a="1"/>
  <c r="AM113" i="5"/>
  <c r="AM114" i="5" a="1"/>
  <c r="AM114" i="5" s="1"/>
  <c r="AM115" i="5" a="1"/>
  <c r="AM115" i="5"/>
  <c r="AM116" i="5" a="1"/>
  <c r="AM116" i="5"/>
  <c r="AM117" i="5" a="1"/>
  <c r="AM117" i="5"/>
  <c r="AM118" i="5" a="1"/>
  <c r="AM118" i="5" s="1"/>
  <c r="AM119" i="5" a="1"/>
  <c r="AM119" i="5"/>
  <c r="AM120" i="5" a="1"/>
  <c r="AM120" i="5"/>
  <c r="AM121" i="5" a="1"/>
  <c r="AM121" i="5"/>
  <c r="AM122" i="5" a="1"/>
  <c r="AM122" i="5" s="1"/>
  <c r="AM123" i="5" a="1"/>
  <c r="AM123" i="5"/>
  <c r="AM124" i="5" a="1"/>
  <c r="AM124" i="5"/>
  <c r="AM125" i="5" a="1"/>
  <c r="AM125" i="5"/>
  <c r="AM126" i="5" a="1"/>
  <c r="AM126" i="5" s="1"/>
  <c r="AM127" i="5" a="1"/>
  <c r="AM127" i="5"/>
  <c r="AM128" i="5" a="1"/>
  <c r="AM128" i="5"/>
  <c r="AM129" i="5" a="1"/>
  <c r="AM129" i="5"/>
  <c r="AM130" i="5" a="1"/>
  <c r="AM130" i="5" s="1"/>
  <c r="AM131" i="5" a="1"/>
  <c r="AM131" i="5"/>
  <c r="AM132" i="5" a="1"/>
  <c r="AM132" i="5"/>
  <c r="AM133" i="5" a="1"/>
  <c r="AM133" i="5"/>
  <c r="AM134" i="5" a="1"/>
  <c r="AM134" i="5" s="1"/>
  <c r="AM135" i="5" a="1"/>
  <c r="AM135" i="5"/>
  <c r="AM136" i="5" a="1"/>
  <c r="AM136" i="5"/>
  <c r="AM137" i="5" a="1"/>
  <c r="AM137" i="5"/>
  <c r="AM138" i="5" a="1"/>
  <c r="AM138" i="5" s="1"/>
  <c r="AM139" i="5" a="1"/>
  <c r="AM139" i="5"/>
  <c r="AM140" i="5" a="1"/>
  <c r="AM140" i="5"/>
  <c r="AM141" i="5" a="1"/>
  <c r="AM141" i="5"/>
  <c r="AM142" i="5" a="1"/>
  <c r="AM142" i="5" s="1"/>
  <c r="AM143" i="5" a="1"/>
  <c r="AM143" i="5"/>
  <c r="AM144" i="5" a="1"/>
  <c r="AM144" i="5"/>
  <c r="AM145" i="5" a="1"/>
  <c r="AM145" i="5"/>
  <c r="AX5" i="5"/>
  <c r="BB30" i="15"/>
  <c r="BA30" i="15"/>
  <c r="AK150" i="18"/>
  <c r="AK149" i="18"/>
  <c r="AK148" i="18"/>
  <c r="AK147" i="18"/>
  <c r="AP31" i="5" a="1"/>
  <c r="AP31" i="5" s="1"/>
  <c r="AR31" i="5" a="1"/>
  <c r="AR31" i="5" s="1"/>
  <c r="AO9" i="5" a="1"/>
  <c r="AO9" i="5" s="1"/>
  <c r="AO8" i="5" a="1"/>
  <c r="AO8" i="5" s="1"/>
  <c r="AO7" i="5" a="1"/>
  <c r="AO7" i="5" s="1"/>
  <c r="AO6" i="5" a="1"/>
  <c r="AO6" i="5" s="1"/>
  <c r="AQ11" i="5" a="1"/>
  <c r="AQ11" i="5" s="1"/>
  <c r="AQ9" i="5" a="1"/>
  <c r="AQ9" i="5" s="1"/>
  <c r="AQ7" i="5" a="1"/>
  <c r="AQ7" i="5" s="1"/>
  <c r="AQ6" i="5" a="1"/>
  <c r="AQ6" i="5" s="1"/>
  <c r="AQ5" i="5" a="1"/>
  <c r="AQ5" i="5"/>
  <c r="AP9" i="5" a="1"/>
  <c r="AP9" i="5" s="1"/>
  <c r="AP8" i="5" a="1"/>
  <c r="AP8" i="5" s="1"/>
  <c r="AP7" i="5" a="1"/>
  <c r="AP7" i="5" s="1"/>
  <c r="AP6" i="5" a="1"/>
  <c r="AP6" i="5" s="1"/>
  <c r="AP16" i="5" a="1"/>
  <c r="AP16" i="5" s="1"/>
  <c r="AP10" i="5" a="1"/>
  <c r="AP10" i="5" s="1"/>
  <c r="AP11" i="5" a="1"/>
  <c r="AP11" i="5" s="1"/>
  <c r="AP12" i="5" a="1"/>
  <c r="AP12" i="5"/>
  <c r="AP13" i="5" a="1"/>
  <c r="AP13" i="5" s="1"/>
  <c r="AP14" i="5" a="1"/>
  <c r="AP14" i="5" s="1"/>
  <c r="AP15" i="5" a="1"/>
  <c r="AP15" i="5" s="1"/>
  <c r="AP17" i="5" a="1"/>
  <c r="AP17" i="5" s="1"/>
  <c r="AP18" i="5" a="1"/>
  <c r="AP18" i="5" s="1"/>
  <c r="AP19" i="5" a="1"/>
  <c r="AP19" i="5" s="1"/>
  <c r="AP20" i="5" a="1"/>
  <c r="AP20" i="5" s="1"/>
  <c r="AP21" i="5" a="1"/>
  <c r="AP21" i="5" s="1"/>
  <c r="AP22" i="5" a="1"/>
  <c r="AP22" i="5" s="1"/>
  <c r="AP23" i="5" a="1"/>
  <c r="AP23" i="5" s="1"/>
  <c r="AP24" i="5" a="1"/>
  <c r="AP24" i="5" s="1"/>
  <c r="AP25" i="5" a="1"/>
  <c r="AP25" i="5"/>
  <c r="AP26" i="5" a="1"/>
  <c r="AP26" i="5" s="1"/>
  <c r="AP27" i="5" a="1"/>
  <c r="AP27" i="5" s="1"/>
  <c r="AP28" i="5" a="1"/>
  <c r="AP28" i="5" s="1"/>
  <c r="AP29" i="5" a="1"/>
  <c r="AP29" i="5" s="1"/>
  <c r="AP30" i="5" a="1"/>
  <c r="AP30" i="5" s="1"/>
  <c r="AP32" i="5" a="1"/>
  <c r="AP32" i="5"/>
  <c r="AP33" i="5" a="1"/>
  <c r="AP33" i="5" s="1"/>
  <c r="AP34" i="5" a="1"/>
  <c r="AP34" i="5" s="1"/>
  <c r="AP35" i="5" a="1"/>
  <c r="AP35" i="5" s="1"/>
  <c r="AP36" i="5" a="1"/>
  <c r="AP36" i="5" s="1"/>
  <c r="AP37" i="5" a="1"/>
  <c r="AP37" i="5" s="1"/>
  <c r="AP38" i="5" a="1"/>
  <c r="AP38" i="5" s="1"/>
  <c r="AP39" i="5" a="1"/>
  <c r="AP39" i="5" s="1"/>
  <c r="AP40" i="5" a="1"/>
  <c r="AP40" i="5"/>
  <c r="AP41" i="5" a="1"/>
  <c r="AP41" i="5" s="1"/>
  <c r="AP42" i="5" a="1"/>
  <c r="AP42" i="5" s="1"/>
  <c r="AP43" i="5" a="1"/>
  <c r="AP43" i="5" s="1"/>
  <c r="AP44" i="5" a="1"/>
  <c r="AP44" i="5" s="1"/>
  <c r="AP45" i="5" a="1"/>
  <c r="AP45" i="5" s="1"/>
  <c r="AP46" i="5" a="1"/>
  <c r="AP46" i="5" s="1"/>
  <c r="AP47" i="5" a="1"/>
  <c r="AP47" i="5" s="1"/>
  <c r="AP48" i="5" a="1"/>
  <c r="AP48" i="5"/>
  <c r="AP49" i="5" a="1"/>
  <c r="AP49" i="5" s="1"/>
  <c r="AP50" i="5" a="1"/>
  <c r="AP50" i="5" s="1"/>
  <c r="AP51" i="5" a="1"/>
  <c r="AP51" i="5" s="1"/>
  <c r="AP52" i="5" a="1"/>
  <c r="AP52" i="5"/>
  <c r="AP53" i="5" a="1"/>
  <c r="AP53" i="5" s="1"/>
  <c r="AP54" i="5" a="1"/>
  <c r="AP54" i="5" s="1"/>
  <c r="AP55" i="5" a="1"/>
  <c r="AP55" i="5" s="1"/>
  <c r="AP56" i="5" a="1"/>
  <c r="AP56" i="5"/>
  <c r="AP57" i="5" a="1"/>
  <c r="AP57" i="5" s="1"/>
  <c r="AP58" i="5" a="1"/>
  <c r="AP58" i="5" s="1"/>
  <c r="AP59" i="5" a="1"/>
  <c r="AP59" i="5" s="1"/>
  <c r="AP60" i="5" a="1"/>
  <c r="AP60" i="5" s="1"/>
  <c r="AP61" i="5" a="1"/>
  <c r="AP61" i="5" s="1"/>
  <c r="AP62" i="5" a="1"/>
  <c r="AP62" i="5" s="1"/>
  <c r="AP63" i="5" a="1"/>
  <c r="AP63" i="5" s="1"/>
  <c r="AP64" i="5" a="1"/>
  <c r="AP64" i="5" s="1"/>
  <c r="AP65" i="5" a="1"/>
  <c r="AP65" i="5" s="1"/>
  <c r="AP66" i="5" a="1"/>
  <c r="AP66" i="5" s="1"/>
  <c r="AP67" i="5" a="1"/>
  <c r="AP67" i="5" s="1"/>
  <c r="AP68" i="5" a="1"/>
  <c r="AP68" i="5" s="1"/>
  <c r="AP69" i="5" a="1"/>
  <c r="AP69" i="5"/>
  <c r="AP70" i="5" a="1"/>
  <c r="AP70" i="5" s="1"/>
  <c r="AP71" i="5" a="1"/>
  <c r="AP71" i="5" s="1"/>
  <c r="AP72" i="5" a="1"/>
  <c r="AP72" i="5" s="1"/>
  <c r="AP73" i="5" a="1"/>
  <c r="AP73" i="5" s="1"/>
  <c r="AP74" i="5" a="1"/>
  <c r="AP74" i="5" s="1"/>
  <c r="AP75" i="5" a="1"/>
  <c r="AP75" i="5" s="1"/>
  <c r="AP76" i="5" a="1"/>
  <c r="AP76" i="5"/>
  <c r="AP77" i="5" a="1"/>
  <c r="AP77" i="5" s="1"/>
  <c r="AP78" i="5" a="1"/>
  <c r="AP78" i="5" s="1"/>
  <c r="AP79" i="5" a="1"/>
  <c r="AP79" i="5" s="1"/>
  <c r="AP80" i="5" a="1"/>
  <c r="AP80" i="5" s="1"/>
  <c r="AP81" i="5" a="1"/>
  <c r="AP81" i="5" s="1"/>
  <c r="AP82" i="5" a="1"/>
  <c r="AP82" i="5" s="1"/>
  <c r="AP83" i="5" a="1"/>
  <c r="AP83" i="5" s="1"/>
  <c r="AP84" i="5" a="1"/>
  <c r="AP84" i="5" s="1"/>
  <c r="AP85" i="5" a="1"/>
  <c r="AP85" i="5" s="1"/>
  <c r="AP86" i="5" a="1"/>
  <c r="AP86" i="5" s="1"/>
  <c r="AP87" i="5" a="1"/>
  <c r="AP87" i="5" s="1"/>
  <c r="AP88" i="5" a="1"/>
  <c r="AP88" i="5" s="1"/>
  <c r="AP89" i="5" a="1"/>
  <c r="AP89" i="5" s="1"/>
  <c r="AP90" i="5" a="1"/>
  <c r="AP90" i="5" s="1"/>
  <c r="AP91" i="5" a="1"/>
  <c r="AP91" i="5" s="1"/>
  <c r="AP92" i="5" a="1"/>
  <c r="AP92" i="5" s="1"/>
  <c r="AP93" i="5" a="1"/>
  <c r="AP93" i="5" s="1"/>
  <c r="AP94" i="5" a="1"/>
  <c r="AP94" i="5" s="1"/>
  <c r="AP95" i="5" a="1"/>
  <c r="AP95" i="5" s="1"/>
  <c r="AP96" i="5" a="1"/>
  <c r="AP96" i="5"/>
  <c r="AP97" i="5" a="1"/>
  <c r="AP97" i="5" s="1"/>
  <c r="AP98" i="5" a="1"/>
  <c r="AP98" i="5" s="1"/>
  <c r="AP99" i="5" a="1"/>
  <c r="AP99" i="5" s="1"/>
  <c r="AP100" i="5" a="1"/>
  <c r="AP100" i="5" s="1"/>
  <c r="AP101" i="5" a="1"/>
  <c r="AP101" i="5" s="1"/>
  <c r="AP102" i="5" a="1"/>
  <c r="AP102" i="5" s="1"/>
  <c r="AP103" i="5" a="1"/>
  <c r="AP103" i="5" s="1"/>
  <c r="AP104" i="5" a="1"/>
  <c r="AP104" i="5" s="1"/>
  <c r="AP105" i="5" a="1"/>
  <c r="AP105" i="5" s="1"/>
  <c r="AP106" i="5" a="1"/>
  <c r="AP106" i="5" s="1"/>
  <c r="AP107" i="5" a="1"/>
  <c r="AP107" i="5" s="1"/>
  <c r="AP108" i="5" a="1"/>
  <c r="AP108" i="5" s="1"/>
  <c r="AP109" i="5" a="1"/>
  <c r="AP109" i="5" s="1"/>
  <c r="AP110" i="5" a="1"/>
  <c r="AP110" i="5" s="1"/>
  <c r="AP111" i="5" a="1"/>
  <c r="AP111" i="5" s="1"/>
  <c r="AP112" i="5" a="1"/>
  <c r="AP112" i="5" s="1"/>
  <c r="AP113" i="5" a="1"/>
  <c r="AP113" i="5" s="1"/>
  <c r="AP114" i="5" a="1"/>
  <c r="AP114" i="5" s="1"/>
  <c r="AP115" i="5" a="1"/>
  <c r="AP115" i="5" s="1"/>
  <c r="AP116" i="5" a="1"/>
  <c r="AP116" i="5" s="1"/>
  <c r="AP117" i="5" a="1"/>
  <c r="AP117" i="5"/>
  <c r="AP118" i="5" a="1"/>
  <c r="AP118" i="5" s="1"/>
  <c r="AP119" i="5" a="1"/>
  <c r="AP119" i="5" s="1"/>
  <c r="AP120" i="5" a="1"/>
  <c r="AP120" i="5" s="1"/>
  <c r="AP121" i="5" a="1"/>
  <c r="AP121" i="5" s="1"/>
  <c r="AP122" i="5" a="1"/>
  <c r="AP122" i="5" s="1"/>
  <c r="AP123" i="5" a="1"/>
  <c r="AP123" i="5" s="1"/>
  <c r="AP124" i="5" a="1"/>
  <c r="AP124" i="5"/>
  <c r="AP125" i="5" a="1"/>
  <c r="AP125" i="5" s="1"/>
  <c r="AP126" i="5" a="1"/>
  <c r="AP126" i="5" s="1"/>
  <c r="AP127" i="5" a="1"/>
  <c r="AP127" i="5" s="1"/>
  <c r="AP128" i="5" a="1"/>
  <c r="AP128" i="5" s="1"/>
  <c r="AP129" i="5" a="1"/>
  <c r="AP129" i="5" s="1"/>
  <c r="AP130" i="5" a="1"/>
  <c r="AP130" i="5" s="1"/>
  <c r="AP131" i="5" a="1"/>
  <c r="AP131" i="5" s="1"/>
  <c r="AP132" i="5" a="1"/>
  <c r="AP132" i="5"/>
  <c r="AP133" i="5" a="1"/>
  <c r="AP133" i="5" s="1"/>
  <c r="AP134" i="5" a="1"/>
  <c r="AP134" i="5" s="1"/>
  <c r="AP135" i="5" a="1"/>
  <c r="AP135" i="5" s="1"/>
  <c r="AP136" i="5" a="1"/>
  <c r="AP136" i="5" s="1"/>
  <c r="AP137" i="5" a="1"/>
  <c r="AP137" i="5"/>
  <c r="AP138" i="5" a="1"/>
  <c r="AP138" i="5" s="1"/>
  <c r="AP139" i="5" a="1"/>
  <c r="AP139" i="5" s="1"/>
  <c r="AP140" i="5" a="1"/>
  <c r="AP140" i="5" s="1"/>
  <c r="AP141" i="5" a="1"/>
  <c r="AP141" i="5" s="1"/>
  <c r="AP142" i="5" a="1"/>
  <c r="AP142" i="5" s="1"/>
  <c r="AP143" i="5" a="1"/>
  <c r="AP143" i="5" s="1"/>
  <c r="AP144" i="5" a="1"/>
  <c r="AP144" i="5"/>
  <c r="AP145" i="5" a="1"/>
  <c r="AP145" i="5" s="1"/>
  <c r="O19" i="5" a="1"/>
  <c r="O19" i="5" s="1"/>
  <c r="AR20" i="5" a="1"/>
  <c r="AR20" i="5" s="1"/>
  <c r="AQ16" i="5" a="1"/>
  <c r="AQ16" i="5" s="1"/>
  <c r="AO10" i="5" a="1"/>
  <c r="AO10" i="5" s="1"/>
  <c r="AO11" i="5" a="1"/>
  <c r="AO11" i="5" s="1"/>
  <c r="AO12" i="5" a="1"/>
  <c r="AO12" i="5" s="1"/>
  <c r="AO13" i="5" a="1"/>
  <c r="AO13" i="5" s="1"/>
  <c r="AO14" i="5" a="1"/>
  <c r="AO14" i="5" s="1"/>
  <c r="AO15" i="5" a="1"/>
  <c r="AO15" i="5" s="1"/>
  <c r="AO16" i="5" a="1"/>
  <c r="AO16" i="5" s="1"/>
  <c r="AO17" i="5" a="1"/>
  <c r="AO17" i="5"/>
  <c r="AO18" i="5" a="1"/>
  <c r="AO18" i="5"/>
  <c r="AO19" i="5" a="1"/>
  <c r="AO19" i="5" s="1"/>
  <c r="AO20" i="5" a="1"/>
  <c r="AO20" i="5" s="1"/>
  <c r="AO21" i="5" a="1"/>
  <c r="AO21" i="5" s="1"/>
  <c r="AO22" i="5" a="1"/>
  <c r="AO22" i="5" s="1"/>
  <c r="AO23" i="5" a="1"/>
  <c r="AO23" i="5" s="1"/>
  <c r="AO24" i="5" a="1"/>
  <c r="AO24" i="5" s="1"/>
  <c r="AO25" i="5" a="1"/>
  <c r="AO25" i="5"/>
  <c r="AO26" i="5" a="1"/>
  <c r="AO26" i="5"/>
  <c r="AO27" i="5" a="1"/>
  <c r="AO27" i="5" s="1"/>
  <c r="AO28" i="5" a="1"/>
  <c r="AO28" i="5"/>
  <c r="AO29" i="5" a="1"/>
  <c r="AO29" i="5" s="1"/>
  <c r="AO30" i="5" a="1"/>
  <c r="AO30" i="5" s="1"/>
  <c r="AO31" i="5" a="1"/>
  <c r="AO31" i="5" s="1"/>
  <c r="AO32" i="5" a="1"/>
  <c r="AO32" i="5" s="1"/>
  <c r="AO33" i="5" a="1"/>
  <c r="AO33" i="5"/>
  <c r="AO34" i="5" a="1"/>
  <c r="AO34" i="5" s="1"/>
  <c r="AO35" i="5" a="1"/>
  <c r="AO35" i="5" s="1"/>
  <c r="AO36" i="5" a="1"/>
  <c r="AO36" i="5"/>
  <c r="AO37" i="5" a="1"/>
  <c r="AO37" i="5" s="1"/>
  <c r="AO38" i="5" a="1"/>
  <c r="AO38" i="5" s="1"/>
  <c r="AO39" i="5" a="1"/>
  <c r="AO39" i="5" s="1"/>
  <c r="AO40" i="5" a="1"/>
  <c r="AO40" i="5" s="1"/>
  <c r="AO41" i="5" a="1"/>
  <c r="AO41" i="5" s="1"/>
  <c r="AO42" i="5" a="1"/>
  <c r="AO42" i="5"/>
  <c r="AO43" i="5" a="1"/>
  <c r="AO43" i="5" s="1"/>
  <c r="AO44" i="5" a="1"/>
  <c r="AO44" i="5"/>
  <c r="AO45" i="5" a="1"/>
  <c r="AO45" i="5"/>
  <c r="AO46" i="5" a="1"/>
  <c r="AO46" i="5"/>
  <c r="AO47" i="5" a="1"/>
  <c r="AO47" i="5" s="1"/>
  <c r="AO48" i="5" a="1"/>
  <c r="AO48" i="5" s="1"/>
  <c r="AO49" i="5" a="1"/>
  <c r="AO49" i="5" s="1"/>
  <c r="AO50" i="5" a="1"/>
  <c r="AO50" i="5" s="1"/>
  <c r="AO51" i="5" a="1"/>
  <c r="AO51" i="5" s="1"/>
  <c r="AO52" i="5" a="1"/>
  <c r="AO52" i="5" s="1"/>
  <c r="AO53" i="5" a="1"/>
  <c r="AO53" i="5"/>
  <c r="AO54" i="5" a="1"/>
  <c r="AO54" i="5"/>
  <c r="AO55" i="5" a="1"/>
  <c r="AO55" i="5" s="1"/>
  <c r="AO56" i="5" a="1"/>
  <c r="AO56" i="5" s="1"/>
  <c r="AO57" i="5" a="1"/>
  <c r="AO57" i="5" s="1"/>
  <c r="AO58" i="5" a="1"/>
  <c r="AO58" i="5" s="1"/>
  <c r="AO59" i="5" a="1"/>
  <c r="AO59" i="5" s="1"/>
  <c r="AO60" i="5" a="1"/>
  <c r="AO60" i="5"/>
  <c r="AO61" i="5" a="1"/>
  <c r="AO61" i="5" s="1"/>
  <c r="AO62" i="5" a="1"/>
  <c r="AO62" i="5" s="1"/>
  <c r="AO63" i="5" a="1"/>
  <c r="AO63" i="5" s="1"/>
  <c r="AO64" i="5" a="1"/>
  <c r="AO64" i="5"/>
  <c r="AO65" i="5" a="1"/>
  <c r="AO65" i="5" s="1"/>
  <c r="AO66" i="5" a="1"/>
  <c r="AO66" i="5" s="1"/>
  <c r="AO67" i="5" a="1"/>
  <c r="AO67" i="5" s="1"/>
  <c r="AO68" i="5" a="1"/>
  <c r="AO68" i="5" s="1"/>
  <c r="AO69" i="5" a="1"/>
  <c r="AO69" i="5" s="1"/>
  <c r="AO70" i="5" a="1"/>
  <c r="AO70" i="5"/>
  <c r="AO71" i="5" a="1"/>
  <c r="AO71" i="5" s="1"/>
  <c r="AO72" i="5" a="1"/>
  <c r="AO72" i="5"/>
  <c r="AO73" i="5" a="1"/>
  <c r="AO73" i="5"/>
  <c r="AO74" i="5" a="1"/>
  <c r="AO74" i="5"/>
  <c r="AO75" i="5" a="1"/>
  <c r="AO75" i="5" s="1"/>
  <c r="AO76" i="5" a="1"/>
  <c r="AO76" i="5" s="1"/>
  <c r="AO77" i="5" a="1"/>
  <c r="AO77" i="5" s="1"/>
  <c r="AO78" i="5" a="1"/>
  <c r="AO78" i="5" s="1"/>
  <c r="AO79" i="5" a="1"/>
  <c r="AO79" i="5" s="1"/>
  <c r="AO80" i="5" a="1"/>
  <c r="AO80" i="5" s="1"/>
  <c r="AO81" i="5" a="1"/>
  <c r="AO81" i="5"/>
  <c r="AO82" i="5" a="1"/>
  <c r="AO82" i="5"/>
  <c r="AO83" i="5" a="1"/>
  <c r="AO83" i="5" s="1"/>
  <c r="AO84" i="5" a="1"/>
  <c r="AO84" i="5" s="1"/>
  <c r="AO85" i="5" a="1"/>
  <c r="AO85" i="5" s="1"/>
  <c r="AO86" i="5" a="1"/>
  <c r="AO86" i="5" s="1"/>
  <c r="AO87" i="5" a="1"/>
  <c r="AO87" i="5" s="1"/>
  <c r="AO88" i="5" a="1"/>
  <c r="AO88" i="5"/>
  <c r="AO89" i="5" a="1"/>
  <c r="AO89" i="5" s="1"/>
  <c r="AO90" i="5" a="1"/>
  <c r="AO90" i="5" s="1"/>
  <c r="AO91" i="5" a="1"/>
  <c r="AO91" i="5" s="1"/>
  <c r="AO92" i="5" a="1"/>
  <c r="AO92" i="5" s="1"/>
  <c r="AO93" i="5" a="1"/>
  <c r="AO93" i="5"/>
  <c r="AO94" i="5" a="1"/>
  <c r="AO94" i="5" s="1"/>
  <c r="AO95" i="5" a="1"/>
  <c r="AO95" i="5" s="1"/>
  <c r="AO96" i="5" a="1"/>
  <c r="AO96" i="5" s="1"/>
  <c r="AO97" i="5" a="1"/>
  <c r="AO97" i="5"/>
  <c r="AO98" i="5" a="1"/>
  <c r="AO98" i="5" s="1"/>
  <c r="AO99" i="5" a="1"/>
  <c r="AO99" i="5" s="1"/>
  <c r="AO100" i="5" a="1"/>
  <c r="AO100" i="5" s="1"/>
  <c r="AO101" i="5" a="1"/>
  <c r="AO101" i="5" s="1"/>
  <c r="AO102" i="5" a="1"/>
  <c r="AO102" i="5" s="1"/>
  <c r="AO103" i="5" a="1"/>
  <c r="AO103" i="5" s="1"/>
  <c r="AO104" i="5" a="1"/>
  <c r="AO104" i="5"/>
  <c r="AO105" i="5" a="1"/>
  <c r="AO105" i="5" s="1"/>
  <c r="AO106" i="5" a="1"/>
  <c r="AO106" i="5" s="1"/>
  <c r="AO107" i="5" a="1"/>
  <c r="AO107" i="5" s="1"/>
  <c r="AO108" i="5" a="1"/>
  <c r="AO108" i="5" s="1"/>
  <c r="AO109" i="5" a="1"/>
  <c r="AO109" i="5" s="1"/>
  <c r="AO110" i="5" a="1"/>
  <c r="AO110" i="5"/>
  <c r="AO111" i="5" a="1"/>
  <c r="AO111" i="5" s="1"/>
  <c r="AO112" i="5" a="1"/>
  <c r="AO112" i="5" s="1"/>
  <c r="AO113" i="5" a="1"/>
  <c r="AO113" i="5"/>
  <c r="AO114" i="5" a="1"/>
  <c r="AO114" i="5" s="1"/>
  <c r="AO115" i="5" a="1"/>
  <c r="AO115" i="5" s="1"/>
  <c r="AO116" i="5" a="1"/>
  <c r="AO116" i="5"/>
  <c r="AO117" i="5" a="1"/>
  <c r="AO117" i="5" s="1"/>
  <c r="AO118" i="5" a="1"/>
  <c r="AO118" i="5" s="1"/>
  <c r="AO119" i="5" a="1"/>
  <c r="AO119" i="5" s="1"/>
  <c r="AO120" i="5" a="1"/>
  <c r="AO120" i="5" s="1"/>
  <c r="AO121" i="5" a="1"/>
  <c r="AO121" i="5" s="1"/>
  <c r="AO122" i="5" a="1"/>
  <c r="AO122" i="5" s="1"/>
  <c r="AO123" i="5" a="1"/>
  <c r="AO123" i="5" s="1"/>
  <c r="AO124" i="5" a="1"/>
  <c r="AO124" i="5" s="1"/>
  <c r="AO125" i="5" a="1"/>
  <c r="AO125" i="5" s="1"/>
  <c r="AO126" i="5" a="1"/>
  <c r="AO126" i="5" s="1"/>
  <c r="AO127" i="5" a="1"/>
  <c r="AO127" i="5" s="1"/>
  <c r="AO128" i="5" a="1"/>
  <c r="AO128" i="5"/>
  <c r="AO129" i="5" a="1"/>
  <c r="AO129" i="5" s="1"/>
  <c r="AO130" i="5" a="1"/>
  <c r="AO130" i="5" s="1"/>
  <c r="AO131" i="5" a="1"/>
  <c r="AO131" i="5" s="1"/>
  <c r="AO132" i="5" a="1"/>
  <c r="AO132" i="5" s="1"/>
  <c r="AO133" i="5" a="1"/>
  <c r="AO133" i="5" s="1"/>
  <c r="AO134" i="5" a="1"/>
  <c r="AO134" i="5" s="1"/>
  <c r="AO135" i="5" a="1"/>
  <c r="AO135" i="5" s="1"/>
  <c r="AO136" i="5" a="1"/>
  <c r="AO136" i="5" s="1"/>
  <c r="AO137" i="5" a="1"/>
  <c r="AO137" i="5" s="1"/>
  <c r="AO138" i="5" a="1"/>
  <c r="AO138" i="5" s="1"/>
  <c r="AO139" i="5" a="1"/>
  <c r="AO139" i="5" s="1"/>
  <c r="AO140" i="5" a="1"/>
  <c r="AO140" i="5" s="1"/>
  <c r="AO141" i="5" a="1"/>
  <c r="AO141" i="5" s="1"/>
  <c r="AO142" i="5" a="1"/>
  <c r="AO142" i="5" s="1"/>
  <c r="AO143" i="5" a="1"/>
  <c r="AO143" i="5" s="1"/>
  <c r="AO144" i="5" a="1"/>
  <c r="AO144" i="5" s="1"/>
  <c r="AO145" i="5" a="1"/>
  <c r="AO145" i="5" s="1"/>
  <c r="AR5" i="5" a="1"/>
  <c r="AR5" i="5" s="1"/>
  <c r="AG5" i="5"/>
  <c r="AH5" i="5"/>
  <c r="O145" i="5" a="1"/>
  <c r="O145" i="5" s="1"/>
  <c r="N145" i="5" a="1"/>
  <c r="N145" i="5" s="1"/>
  <c r="N130" i="5" a="1"/>
  <c r="N130" i="5" s="1"/>
  <c r="O130" i="5" a="1"/>
  <c r="O130" i="5" s="1"/>
  <c r="N131" i="5" a="1"/>
  <c r="N131" i="5" s="1"/>
  <c r="O131" i="5" a="1"/>
  <c r="O131" i="5" s="1"/>
  <c r="N132" i="5" a="1"/>
  <c r="N132" i="5" s="1"/>
  <c r="O132" i="5" a="1"/>
  <c r="O132" i="5" s="1"/>
  <c r="N133" i="5" a="1"/>
  <c r="N133" i="5" s="1"/>
  <c r="O133" i="5" a="1"/>
  <c r="O133" i="5" s="1"/>
  <c r="N134" i="5" a="1"/>
  <c r="N134" i="5" s="1"/>
  <c r="O134" i="5" a="1"/>
  <c r="O134" i="5" s="1"/>
  <c r="N135" i="5" a="1"/>
  <c r="N135" i="5"/>
  <c r="O135" i="5" a="1"/>
  <c r="O135" i="5"/>
  <c r="N136" i="5" a="1"/>
  <c r="N136" i="5" s="1"/>
  <c r="O136" i="5" a="1"/>
  <c r="O136" i="5" s="1"/>
  <c r="N137" i="5" a="1"/>
  <c r="N137" i="5" s="1"/>
  <c r="O137" i="5" a="1"/>
  <c r="O137" i="5" s="1"/>
  <c r="N138" i="5" a="1"/>
  <c r="N138" i="5" s="1"/>
  <c r="O138" i="5" a="1"/>
  <c r="O138" i="5" s="1"/>
  <c r="N139" i="5" a="1"/>
  <c r="N139" i="5"/>
  <c r="O139" i="5" a="1"/>
  <c r="O139" i="5" s="1"/>
  <c r="N140" i="5" a="1"/>
  <c r="N140" i="5" s="1"/>
  <c r="O140" i="5" a="1"/>
  <c r="O140" i="5" s="1"/>
  <c r="N141" i="5" a="1"/>
  <c r="N141" i="5" s="1"/>
  <c r="O141" i="5" a="1"/>
  <c r="O141" i="5" s="1"/>
  <c r="N142" i="5" a="1"/>
  <c r="N142" i="5" s="1"/>
  <c r="O142" i="5" a="1"/>
  <c r="O142" i="5"/>
  <c r="N143" i="5" a="1"/>
  <c r="N143" i="5"/>
  <c r="O143" i="5" a="1"/>
  <c r="O143" i="5" s="1"/>
  <c r="N144" i="5" a="1"/>
  <c r="N144" i="5" s="1"/>
  <c r="O144" i="5" a="1"/>
  <c r="O144" i="5" s="1"/>
  <c r="N117" i="5" a="1"/>
  <c r="N117" i="5" s="1"/>
  <c r="O117" i="5" a="1"/>
  <c r="O117" i="5" s="1"/>
  <c r="N118" i="5" a="1"/>
  <c r="N118" i="5" s="1"/>
  <c r="O118" i="5" a="1"/>
  <c r="O118" i="5" s="1"/>
  <c r="N119" i="5" a="1"/>
  <c r="N119" i="5" s="1"/>
  <c r="O119" i="5" a="1"/>
  <c r="O119" i="5" s="1"/>
  <c r="N120" i="5" a="1"/>
  <c r="N120" i="5" s="1"/>
  <c r="O120" i="5" a="1"/>
  <c r="O120" i="5" s="1"/>
  <c r="N121" i="5" a="1"/>
  <c r="N121" i="5" s="1"/>
  <c r="O121" i="5" a="1"/>
  <c r="O121" i="5" s="1"/>
  <c r="N122" i="5" a="1"/>
  <c r="N122" i="5" s="1"/>
  <c r="O122" i="5" a="1"/>
  <c r="O122" i="5" s="1"/>
  <c r="N123" i="5" a="1"/>
  <c r="N123" i="5" s="1"/>
  <c r="O123" i="5" a="1"/>
  <c r="O123" i="5" s="1"/>
  <c r="N124" i="5" a="1"/>
  <c r="N124" i="5" s="1"/>
  <c r="O124" i="5" a="1"/>
  <c r="O124" i="5" s="1"/>
  <c r="N125" i="5" a="1"/>
  <c r="N125" i="5" s="1"/>
  <c r="O125" i="5" a="1"/>
  <c r="O125" i="5" s="1"/>
  <c r="N126" i="5" a="1"/>
  <c r="N126" i="5" s="1"/>
  <c r="O126" i="5" a="1"/>
  <c r="O126" i="5" s="1"/>
  <c r="N127" i="5" a="1"/>
  <c r="N127" i="5" s="1"/>
  <c r="O127" i="5" a="1"/>
  <c r="O127" i="5" s="1"/>
  <c r="N128" i="5" a="1"/>
  <c r="N128" i="5" s="1"/>
  <c r="O128" i="5" a="1"/>
  <c r="O128" i="5" s="1"/>
  <c r="N129" i="5" a="1"/>
  <c r="N129" i="5" s="1"/>
  <c r="O129" i="5" a="1"/>
  <c r="O129" i="5" s="1"/>
  <c r="N96" i="5" a="1"/>
  <c r="N96" i="5" s="1"/>
  <c r="O96" i="5" a="1"/>
  <c r="O96" i="5" s="1"/>
  <c r="N97" i="5" a="1"/>
  <c r="N97" i="5" s="1"/>
  <c r="O97" i="5" a="1"/>
  <c r="O97" i="5" s="1"/>
  <c r="N98" i="5" a="1"/>
  <c r="N98" i="5" s="1"/>
  <c r="O98" i="5" a="1"/>
  <c r="O98" i="5" s="1"/>
  <c r="N99" i="5" a="1"/>
  <c r="N99" i="5" s="1"/>
  <c r="O99" i="5" a="1"/>
  <c r="O99" i="5" s="1"/>
  <c r="N100" i="5" a="1"/>
  <c r="N100" i="5" s="1"/>
  <c r="O100" i="5" a="1"/>
  <c r="O100" i="5" s="1"/>
  <c r="N101" i="5" a="1"/>
  <c r="N101" i="5" s="1"/>
  <c r="O101" i="5" a="1"/>
  <c r="O101" i="5"/>
  <c r="N102" i="5" a="1"/>
  <c r="N102" i="5" s="1"/>
  <c r="O102" i="5" a="1"/>
  <c r="O102" i="5"/>
  <c r="N103" i="5" a="1"/>
  <c r="N103" i="5" s="1"/>
  <c r="O103" i="5" a="1"/>
  <c r="O103" i="5" s="1"/>
  <c r="N104" i="5" a="1"/>
  <c r="N104" i="5" s="1"/>
  <c r="O104" i="5" a="1"/>
  <c r="O104" i="5"/>
  <c r="N105" i="5" a="1"/>
  <c r="N105" i="5" s="1"/>
  <c r="O105" i="5" a="1"/>
  <c r="O105" i="5" s="1"/>
  <c r="N106" i="5" a="1"/>
  <c r="N106" i="5" s="1"/>
  <c r="O106" i="5" a="1"/>
  <c r="O106" i="5"/>
  <c r="N107" i="5" a="1"/>
  <c r="N107" i="5" s="1"/>
  <c r="O107" i="5" a="1"/>
  <c r="O107" i="5" s="1"/>
  <c r="N108" i="5" a="1"/>
  <c r="N108" i="5" s="1"/>
  <c r="O108" i="5" a="1"/>
  <c r="O108" i="5" s="1"/>
  <c r="N109" i="5" a="1"/>
  <c r="N109" i="5" s="1"/>
  <c r="O109" i="5" a="1"/>
  <c r="O109" i="5" s="1"/>
  <c r="N110" i="5" a="1"/>
  <c r="N110" i="5" s="1"/>
  <c r="O110" i="5" a="1"/>
  <c r="O110" i="5" s="1"/>
  <c r="N111" i="5" a="1"/>
  <c r="N111" i="5" s="1"/>
  <c r="O111" i="5" a="1"/>
  <c r="O111" i="5" s="1"/>
  <c r="N112" i="5" a="1"/>
  <c r="N112" i="5" s="1"/>
  <c r="O112" i="5" a="1"/>
  <c r="O112" i="5" s="1"/>
  <c r="N113" i="5" a="1"/>
  <c r="N113" i="5" s="1"/>
  <c r="O113" i="5" a="1"/>
  <c r="O113" i="5" s="1"/>
  <c r="N114" i="5" a="1"/>
  <c r="N114" i="5" s="1"/>
  <c r="O114" i="5" a="1"/>
  <c r="O114" i="5" s="1"/>
  <c r="N115" i="5" a="1"/>
  <c r="N115" i="5" s="1"/>
  <c r="O115" i="5" a="1"/>
  <c r="O115" i="5" s="1"/>
  <c r="N116" i="5" a="1"/>
  <c r="N116" i="5" s="1"/>
  <c r="O116" i="5" a="1"/>
  <c r="O116" i="5" s="1"/>
  <c r="N75" i="5" a="1"/>
  <c r="N75" i="5" s="1"/>
  <c r="O75" i="5" a="1"/>
  <c r="O75" i="5" s="1"/>
  <c r="N76" i="5" a="1"/>
  <c r="N76" i="5" s="1"/>
  <c r="O76" i="5" a="1"/>
  <c r="O76" i="5" s="1"/>
  <c r="N77" i="5" a="1"/>
  <c r="N77" i="5" s="1"/>
  <c r="O77" i="5" a="1"/>
  <c r="O77" i="5" s="1"/>
  <c r="N78" i="5" a="1"/>
  <c r="N78" i="5" s="1"/>
  <c r="O78" i="5" a="1"/>
  <c r="O78" i="5" s="1"/>
  <c r="N79" i="5" a="1"/>
  <c r="N79" i="5" s="1"/>
  <c r="O79" i="5" a="1"/>
  <c r="O79" i="5" s="1"/>
  <c r="N80" i="5" a="1"/>
  <c r="N80" i="5" s="1"/>
  <c r="O80" i="5" a="1"/>
  <c r="O80" i="5" s="1"/>
  <c r="N81" i="5" a="1"/>
  <c r="N81" i="5" s="1"/>
  <c r="O81" i="5" a="1"/>
  <c r="O81" i="5" s="1"/>
  <c r="N82" i="5" a="1"/>
  <c r="N82" i="5"/>
  <c r="O82" i="5" a="1"/>
  <c r="O82" i="5"/>
  <c r="N83" i="5" a="1"/>
  <c r="N83" i="5" s="1"/>
  <c r="O83" i="5" a="1"/>
  <c r="O83" i="5" s="1"/>
  <c r="N84" i="5" a="1"/>
  <c r="N84" i="5" s="1"/>
  <c r="O84" i="5" a="1"/>
  <c r="O84" i="5"/>
  <c r="N85" i="5" a="1"/>
  <c r="N85" i="5" s="1"/>
  <c r="O85" i="5" a="1"/>
  <c r="O85" i="5" s="1"/>
  <c r="N86" i="5" a="1"/>
  <c r="N86" i="5" s="1"/>
  <c r="O86" i="5" a="1"/>
  <c r="O86" i="5"/>
  <c r="N87" i="5" a="1"/>
  <c r="N87" i="5" s="1"/>
  <c r="O87" i="5" a="1"/>
  <c r="O87" i="5" s="1"/>
  <c r="N88" i="5" a="1"/>
  <c r="N88" i="5"/>
  <c r="O88" i="5" a="1"/>
  <c r="O88" i="5" s="1"/>
  <c r="N89" i="5" a="1"/>
  <c r="N89" i="5" s="1"/>
  <c r="O89" i="5" a="1"/>
  <c r="O89" i="5" s="1"/>
  <c r="N90" i="5" a="1"/>
  <c r="N90" i="5" s="1"/>
  <c r="O90" i="5" a="1"/>
  <c r="O90" i="5" s="1"/>
  <c r="N91" i="5" a="1"/>
  <c r="N91" i="5" s="1"/>
  <c r="O91" i="5" a="1"/>
  <c r="O91" i="5" s="1"/>
  <c r="N92" i="5" a="1"/>
  <c r="N92" i="5" s="1"/>
  <c r="O92" i="5" a="1"/>
  <c r="O92" i="5" s="1"/>
  <c r="N93" i="5" a="1"/>
  <c r="N93" i="5" s="1"/>
  <c r="O93" i="5" a="1"/>
  <c r="O93" i="5" s="1"/>
  <c r="N94" i="5" a="1"/>
  <c r="N94" i="5" s="1"/>
  <c r="O94" i="5" a="1"/>
  <c r="O94" i="5" s="1"/>
  <c r="N95" i="5" a="1"/>
  <c r="N95" i="5" s="1"/>
  <c r="O95" i="5" a="1"/>
  <c r="O95" i="5" s="1"/>
  <c r="N58" i="5" a="1"/>
  <c r="N58" i="5" s="1"/>
  <c r="O58" i="5" a="1"/>
  <c r="O58" i="5" s="1"/>
  <c r="N59" i="5" a="1"/>
  <c r="N59" i="5"/>
  <c r="O59" i="5" a="1"/>
  <c r="O59" i="5" s="1"/>
  <c r="N60" i="5" a="1"/>
  <c r="N60" i="5" s="1"/>
  <c r="O60" i="5" a="1"/>
  <c r="O60" i="5" s="1"/>
  <c r="N61" i="5" a="1"/>
  <c r="N61" i="5" s="1"/>
  <c r="O61" i="5" a="1"/>
  <c r="O61" i="5"/>
  <c r="N62" i="5" a="1"/>
  <c r="N62" i="5"/>
  <c r="O62" i="5" a="1"/>
  <c r="O62" i="5" s="1"/>
  <c r="N63" i="5" a="1"/>
  <c r="N63" i="5" s="1"/>
  <c r="O63" i="5" a="1"/>
  <c r="O63" i="5" s="1"/>
  <c r="N64" i="5" a="1"/>
  <c r="N64" i="5" s="1"/>
  <c r="O64" i="5" a="1"/>
  <c r="O64" i="5" s="1"/>
  <c r="N65" i="5" a="1"/>
  <c r="N65" i="5" s="1"/>
  <c r="O65" i="5" a="1"/>
  <c r="O65" i="5" s="1"/>
  <c r="N66" i="5" a="1"/>
  <c r="N66" i="5" s="1"/>
  <c r="O66" i="5" a="1"/>
  <c r="O66" i="5" s="1"/>
  <c r="N67" i="5" a="1"/>
  <c r="N67" i="5" s="1"/>
  <c r="O67" i="5" a="1"/>
  <c r="O67" i="5" s="1"/>
  <c r="N68" i="5" a="1"/>
  <c r="N68" i="5" s="1"/>
  <c r="O68" i="5" a="1"/>
  <c r="O68" i="5" s="1"/>
  <c r="N69" i="5" a="1"/>
  <c r="N69" i="5" s="1"/>
  <c r="O69" i="5" a="1"/>
  <c r="O69" i="5" s="1"/>
  <c r="N70" i="5" a="1"/>
  <c r="N70" i="5" s="1"/>
  <c r="O70" i="5" a="1"/>
  <c r="O70" i="5" s="1"/>
  <c r="N71" i="5" a="1"/>
  <c r="N71" i="5" s="1"/>
  <c r="O71" i="5" a="1"/>
  <c r="O71" i="5"/>
  <c r="N72" i="5" a="1"/>
  <c r="N72" i="5" s="1"/>
  <c r="O72" i="5" a="1"/>
  <c r="O72" i="5" s="1"/>
  <c r="N73" i="5" a="1"/>
  <c r="N73" i="5" s="1"/>
  <c r="O73" i="5" a="1"/>
  <c r="O73" i="5" s="1"/>
  <c r="N74" i="5" a="1"/>
  <c r="N74" i="5" s="1"/>
  <c r="O74" i="5" a="1"/>
  <c r="O74" i="5" s="1"/>
  <c r="N35" i="5" a="1"/>
  <c r="N35" i="5" s="1"/>
  <c r="O35" i="5" a="1"/>
  <c r="O35" i="5" s="1"/>
  <c r="N36" i="5" a="1"/>
  <c r="N36" i="5"/>
  <c r="O36" i="5" a="1"/>
  <c r="O36" i="5" s="1"/>
  <c r="N37" i="5" a="1"/>
  <c r="N37" i="5" s="1"/>
  <c r="O37" i="5" a="1"/>
  <c r="O37" i="5" s="1"/>
  <c r="N38" i="5" a="1"/>
  <c r="N38" i="5" s="1"/>
  <c r="O38" i="5" a="1"/>
  <c r="O38" i="5" s="1"/>
  <c r="N39" i="5" a="1"/>
  <c r="N39" i="5" s="1"/>
  <c r="O39" i="5" a="1"/>
  <c r="O39" i="5" s="1"/>
  <c r="N40" i="5" a="1"/>
  <c r="N40" i="5" s="1"/>
  <c r="O40" i="5" a="1"/>
  <c r="O40" i="5" s="1"/>
  <c r="N41" i="5" a="1"/>
  <c r="N41" i="5" s="1"/>
  <c r="O41" i="5" a="1"/>
  <c r="O41" i="5" s="1"/>
  <c r="N42" i="5" a="1"/>
  <c r="N42" i="5"/>
  <c r="O42" i="5" a="1"/>
  <c r="O42" i="5" s="1"/>
  <c r="N43" i="5" a="1"/>
  <c r="N43" i="5" s="1"/>
  <c r="O43" i="5" a="1"/>
  <c r="O43" i="5" s="1"/>
  <c r="N44" i="5" a="1"/>
  <c r="N44" i="5" s="1"/>
  <c r="O44" i="5" a="1"/>
  <c r="O44" i="5" s="1"/>
  <c r="N45" i="5" a="1"/>
  <c r="N45" i="5" s="1"/>
  <c r="O45" i="5" a="1"/>
  <c r="O45" i="5" s="1"/>
  <c r="N46" i="5" a="1"/>
  <c r="N46" i="5" s="1"/>
  <c r="O46" i="5" a="1"/>
  <c r="O46" i="5" s="1"/>
  <c r="N47" i="5" a="1"/>
  <c r="N47" i="5" s="1"/>
  <c r="O47" i="5" a="1"/>
  <c r="O47" i="5" s="1"/>
  <c r="N48" i="5" a="1"/>
  <c r="N48" i="5" s="1"/>
  <c r="O48" i="5" a="1"/>
  <c r="O48" i="5" s="1"/>
  <c r="N49" i="5" a="1"/>
  <c r="N49" i="5" s="1"/>
  <c r="O49" i="5" a="1"/>
  <c r="O49" i="5" s="1"/>
  <c r="N50" i="5" a="1"/>
  <c r="N50" i="5" s="1"/>
  <c r="O50" i="5" a="1"/>
  <c r="O50" i="5" s="1"/>
  <c r="N51" i="5" a="1"/>
  <c r="N51" i="5" s="1"/>
  <c r="O51" i="5" a="1"/>
  <c r="O51" i="5" s="1"/>
  <c r="N52" i="5" a="1"/>
  <c r="N52" i="5" s="1"/>
  <c r="O52" i="5" a="1"/>
  <c r="O52" i="5" s="1"/>
  <c r="N53" i="5" a="1"/>
  <c r="N53" i="5" s="1"/>
  <c r="O53" i="5" a="1"/>
  <c r="O53" i="5" s="1"/>
  <c r="N54" i="5" a="1"/>
  <c r="N54" i="5" s="1"/>
  <c r="O54" i="5" a="1"/>
  <c r="O54" i="5" s="1"/>
  <c r="N55" i="5" a="1"/>
  <c r="N55" i="5" s="1"/>
  <c r="O55" i="5" a="1"/>
  <c r="O55" i="5" s="1"/>
  <c r="N56" i="5" a="1"/>
  <c r="N56" i="5" s="1"/>
  <c r="O56" i="5" a="1"/>
  <c r="O56" i="5" s="1"/>
  <c r="N57" i="5" a="1"/>
  <c r="N57" i="5" s="1"/>
  <c r="O57" i="5" a="1"/>
  <c r="O57" i="5" s="1"/>
  <c r="N7" i="5" a="1"/>
  <c r="N7" i="5" s="1"/>
  <c r="O7" i="5" a="1"/>
  <c r="O7" i="5" s="1"/>
  <c r="N8" i="5" a="1"/>
  <c r="N8" i="5" s="1"/>
  <c r="O8" i="5" a="1"/>
  <c r="O8" i="5" s="1"/>
  <c r="N9" i="5" a="1"/>
  <c r="N9" i="5" s="1"/>
  <c r="O9" i="5" a="1"/>
  <c r="O9" i="5" s="1"/>
  <c r="N10" i="5" a="1"/>
  <c r="N10" i="5" s="1"/>
  <c r="O10" i="5" a="1"/>
  <c r="O10" i="5" s="1"/>
  <c r="N11" i="5" a="1"/>
  <c r="N11" i="5" s="1"/>
  <c r="O11" i="5" a="1"/>
  <c r="O11" i="5" s="1"/>
  <c r="N12" i="5" a="1"/>
  <c r="N12" i="5" s="1"/>
  <c r="O12" i="5" a="1"/>
  <c r="O12" i="5" s="1"/>
  <c r="N13" i="5" a="1"/>
  <c r="N13" i="5" s="1"/>
  <c r="O13" i="5" a="1"/>
  <c r="O13" i="5" s="1"/>
  <c r="N14" i="5" a="1"/>
  <c r="N14" i="5" s="1"/>
  <c r="O14" i="5" a="1"/>
  <c r="O14" i="5" s="1"/>
  <c r="N15" i="5" a="1"/>
  <c r="N15" i="5" s="1"/>
  <c r="O15" i="5" a="1"/>
  <c r="O15" i="5" s="1"/>
  <c r="N16" i="5" a="1"/>
  <c r="N16" i="5" s="1"/>
  <c r="O16" i="5" a="1"/>
  <c r="O16" i="5" s="1"/>
  <c r="N17" i="5" a="1"/>
  <c r="N17" i="5" s="1"/>
  <c r="O17" i="5" a="1"/>
  <c r="O17" i="5" s="1"/>
  <c r="N18" i="5" a="1"/>
  <c r="N18" i="5" s="1"/>
  <c r="O18" i="5" a="1"/>
  <c r="O18" i="5" s="1"/>
  <c r="N19" i="5" a="1"/>
  <c r="N19" i="5" s="1"/>
  <c r="N20" i="5" a="1"/>
  <c r="N20" i="5" s="1"/>
  <c r="O20" i="5" a="1"/>
  <c r="O20" i="5" s="1"/>
  <c r="N21" i="5" a="1"/>
  <c r="N21" i="5" s="1"/>
  <c r="O21" i="5" a="1"/>
  <c r="O21" i="5" s="1"/>
  <c r="N22" i="5" a="1"/>
  <c r="N22" i="5" s="1"/>
  <c r="O22" i="5" a="1"/>
  <c r="O22" i="5" s="1"/>
  <c r="N23" i="5" a="1"/>
  <c r="N23" i="5" s="1"/>
  <c r="O23" i="5" a="1"/>
  <c r="O23" i="5" s="1"/>
  <c r="N24" i="5" a="1"/>
  <c r="N24" i="5" s="1"/>
  <c r="O24" i="5" a="1"/>
  <c r="O24" i="5" s="1"/>
  <c r="N25" i="5" a="1"/>
  <c r="N25" i="5" s="1"/>
  <c r="O25" i="5" a="1"/>
  <c r="O25" i="5" s="1"/>
  <c r="N26" i="5" a="1"/>
  <c r="N26" i="5" s="1"/>
  <c r="O26" i="5" a="1"/>
  <c r="O26" i="5" s="1"/>
  <c r="N27" i="5" a="1"/>
  <c r="N27" i="5" s="1"/>
  <c r="O27" i="5" a="1"/>
  <c r="O27" i="5" s="1"/>
  <c r="N28" i="5" a="1"/>
  <c r="N28" i="5" s="1"/>
  <c r="O28" i="5" a="1"/>
  <c r="O28" i="5" s="1"/>
  <c r="N29" i="5" a="1"/>
  <c r="N29" i="5" s="1"/>
  <c r="O29" i="5" a="1"/>
  <c r="O29" i="5" s="1"/>
  <c r="N30" i="5" a="1"/>
  <c r="N30" i="5" s="1"/>
  <c r="O30" i="5" a="1"/>
  <c r="O30" i="5" s="1"/>
  <c r="N31" i="5" a="1"/>
  <c r="N31" i="5" s="1"/>
  <c r="O31" i="5" a="1"/>
  <c r="O31" i="5" s="1"/>
  <c r="N32" i="5" a="1"/>
  <c r="N32" i="5" s="1"/>
  <c r="O32" i="5" a="1"/>
  <c r="O32" i="5" s="1"/>
  <c r="N33" i="5" a="1"/>
  <c r="N33" i="5" s="1"/>
  <c r="O33" i="5" a="1"/>
  <c r="O33" i="5" s="1"/>
  <c r="N34" i="5" a="1"/>
  <c r="N34" i="5" s="1"/>
  <c r="O34" i="5" a="1"/>
  <c r="O34" i="5" s="1"/>
  <c r="O6" i="5" a="1"/>
  <c r="O6" i="5" s="1"/>
  <c r="N6" i="5" a="1"/>
  <c r="N6" i="5" s="1"/>
  <c r="O5" i="5" a="1"/>
  <c r="O5" i="5" s="1"/>
  <c r="BK16" i="6"/>
  <c r="BK26" i="6"/>
  <c r="BK32" i="6"/>
  <c r="BK47" i="6"/>
  <c r="BK62" i="6"/>
  <c r="BK65" i="6"/>
  <c r="BK66" i="6"/>
  <c r="BK68" i="6"/>
  <c r="BK75" i="6"/>
  <c r="BK86" i="6"/>
  <c r="BK93" i="6"/>
  <c r="BK95" i="6"/>
  <c r="BK103" i="6"/>
  <c r="BK108" i="6"/>
  <c r="BK123" i="6"/>
  <c r="BK125" i="6"/>
  <c r="BK127" i="6"/>
  <c r="BK133" i="6"/>
  <c r="AD20" i="5"/>
  <c r="AY152" i="22" l="1"/>
  <c r="BB152" i="22"/>
  <c r="BA152" i="22"/>
  <c r="AZ152" i="22"/>
  <c r="BC152" i="22"/>
  <c r="BK134" i="22"/>
  <c r="BK138" i="22"/>
  <c r="BK135" i="22"/>
  <c r="BK21" i="22"/>
  <c r="BK141" i="22"/>
  <c r="BK140" i="22"/>
  <c r="BK136" i="22"/>
  <c r="BK17" i="22"/>
  <c r="BK23" i="22"/>
  <c r="BK139" i="22"/>
  <c r="BK19" i="22"/>
  <c r="BK137" i="22"/>
  <c r="AJ147" i="18"/>
  <c r="AJ148" i="18"/>
  <c r="AJ149" i="18"/>
  <c r="AJ150" i="18"/>
  <c r="BJ143" i="22"/>
  <c r="BJ71" i="22"/>
  <c r="BJ12" i="22"/>
  <c r="BI7" i="6"/>
  <c r="BD78" i="22"/>
  <c r="BD105" i="22"/>
  <c r="BM131" i="22"/>
  <c r="BD117" i="22"/>
  <c r="BH118" i="22"/>
  <c r="BG115" i="22"/>
  <c r="BE118" i="22"/>
  <c r="BG116" i="22"/>
  <c r="BJ77" i="22"/>
  <c r="BJ8" i="22"/>
  <c r="BI110" i="6"/>
  <c r="BM84" i="22"/>
  <c r="BN121" i="22"/>
  <c r="BM141" i="22"/>
  <c r="BH132" i="22"/>
  <c r="BG132" i="22"/>
  <c r="BE135" i="22"/>
  <c r="BD135" i="22"/>
  <c r="BH131" i="22"/>
  <c r="BF51" i="22"/>
  <c r="BM132" i="22"/>
  <c r="BH63" i="22"/>
  <c r="BB36" i="15"/>
  <c r="BJ119" i="22"/>
  <c r="BJ49" i="22"/>
  <c r="BI10" i="22"/>
  <c r="BD126" i="22"/>
  <c r="BN36" i="22"/>
  <c r="BH61" i="22"/>
  <c r="BG70" i="22"/>
  <c r="BM60" i="22"/>
  <c r="BF64" i="22"/>
  <c r="BN61" i="22"/>
  <c r="BH54" i="22"/>
  <c r="BJ125" i="22"/>
  <c r="BJ64" i="22"/>
  <c r="BI35" i="22"/>
  <c r="BN122" i="22"/>
  <c r="BE36" i="22"/>
  <c r="BH60" i="22"/>
  <c r="BF69" i="22"/>
  <c r="BN57" i="22"/>
  <c r="BM57" i="22"/>
  <c r="BE59" i="22"/>
  <c r="BJ130" i="22"/>
  <c r="BJ59" i="22"/>
  <c r="BI40" i="22"/>
  <c r="BM145" i="22"/>
  <c r="BG57" i="22"/>
  <c r="BG83" i="22"/>
  <c r="BE102" i="22"/>
  <c r="BG94" i="22"/>
  <c r="BE92" i="22"/>
  <c r="BD94" i="22"/>
  <c r="BJ91" i="22"/>
  <c r="BJ43" i="22"/>
  <c r="BI115" i="6"/>
  <c r="BF105" i="22"/>
  <c r="BD142" i="22"/>
  <c r="BH20" i="22"/>
  <c r="BF38" i="22"/>
  <c r="BN15" i="22"/>
  <c r="BH18" i="22"/>
  <c r="BG19" i="22"/>
  <c r="BF18" i="22"/>
  <c r="BF137" i="22"/>
  <c r="BE43" i="22"/>
  <c r="BD122" i="22"/>
  <c r="BG55" i="22"/>
  <c r="BJ95" i="22"/>
  <c r="BD120" i="22"/>
  <c r="BN50" i="22"/>
  <c r="BG20" i="22"/>
  <c r="BH69" i="22"/>
  <c r="BN60" i="22"/>
  <c r="BM10" i="22"/>
  <c r="BE111" i="22"/>
  <c r="BJ88" i="22"/>
  <c r="BG105" i="22"/>
  <c r="BN80" i="22"/>
  <c r="BF52" i="22"/>
  <c r="BE119" i="22"/>
  <c r="BG49" i="22"/>
  <c r="BF19" i="22"/>
  <c r="BE54" i="22"/>
  <c r="BM52" i="22"/>
  <c r="BD6" i="22"/>
  <c r="BB34" i="15"/>
  <c r="BN101" i="22"/>
  <c r="BM123" i="22"/>
  <c r="BE139" i="22"/>
  <c r="BI41" i="6"/>
  <c r="BH107" i="22"/>
  <c r="BD49" i="22"/>
  <c r="BF43" i="22"/>
  <c r="BH83" i="22"/>
  <c r="BM72" i="22"/>
  <c r="BE145" i="22"/>
  <c r="BJ22" i="22"/>
  <c r="BM110" i="22"/>
  <c r="BM67" i="22"/>
  <c r="BM105" i="22"/>
  <c r="BD118" i="22"/>
  <c r="BN143" i="22"/>
  <c r="BN114" i="22"/>
  <c r="BG52" i="22"/>
  <c r="BG73" i="22"/>
  <c r="BE30" i="22"/>
  <c r="BG141" i="22"/>
  <c r="BF55" i="22"/>
  <c r="BF89" i="22"/>
  <c r="BG112" i="22"/>
  <c r="BJ139" i="22"/>
  <c r="BJ85" i="22"/>
  <c r="BJ7" i="22"/>
  <c r="BI5" i="6"/>
  <c r="BD61" i="22"/>
  <c r="BM92" i="22"/>
  <c r="BN107" i="22"/>
  <c r="BM102" i="22"/>
  <c r="BG101" i="22"/>
  <c r="BH102" i="22"/>
  <c r="BM100" i="22"/>
  <c r="BJ142" i="22"/>
  <c r="BJ69" i="22"/>
  <c r="BJ9" i="22"/>
  <c r="BI107" i="6"/>
  <c r="BE77" i="22"/>
  <c r="BD104" i="22"/>
  <c r="BH130" i="22"/>
  <c r="BM115" i="22"/>
  <c r="BN116" i="22"/>
  <c r="BF114" i="22"/>
  <c r="BF115" i="22"/>
  <c r="BE115" i="22"/>
  <c r="BF144" i="22"/>
  <c r="BM89" i="22"/>
  <c r="BN17" i="22"/>
  <c r="BB39" i="15"/>
  <c r="BJ101" i="22"/>
  <c r="BJ30" i="22"/>
  <c r="BI14" i="22"/>
  <c r="BF116" i="22"/>
  <c r="BG28" i="22"/>
  <c r="BM46" i="22"/>
  <c r="BE58" i="22"/>
  <c r="BG44" i="22"/>
  <c r="BM45" i="22"/>
  <c r="BD44" i="22"/>
  <c r="BM6" i="22"/>
  <c r="BJ93" i="22"/>
  <c r="BJ36" i="22"/>
  <c r="BI111" i="22"/>
  <c r="BH115" i="22"/>
  <c r="BG27" i="22"/>
  <c r="BH39" i="22"/>
  <c r="BN56" i="22"/>
  <c r="BD43" i="22"/>
  <c r="BE44" i="22"/>
  <c r="BM42" i="22"/>
  <c r="BJ120" i="22"/>
  <c r="BJ58" i="22"/>
  <c r="BI115" i="22"/>
  <c r="BG138" i="22"/>
  <c r="BF46" i="22"/>
  <c r="BM73" i="22"/>
  <c r="BG84" i="22"/>
  <c r="BD77" i="22"/>
  <c r="BF78" i="22"/>
  <c r="BE78" i="22"/>
  <c r="BJ102" i="22"/>
  <c r="BJ129" i="22"/>
  <c r="BJ116" i="22"/>
  <c r="BJ65" i="22"/>
  <c r="BI37" i="22"/>
  <c r="BM129" i="22"/>
  <c r="BH42" i="22"/>
  <c r="BE64" i="22"/>
  <c r="BM74" i="22"/>
  <c r="BN65" i="22"/>
  <c r="BN67" i="22"/>
  <c r="BM69" i="22"/>
  <c r="BN58" i="22"/>
  <c r="BJ121" i="22"/>
  <c r="BJ53" i="22"/>
  <c r="BI109" i="22"/>
  <c r="BD141" i="22"/>
  <c r="BH52" i="22"/>
  <c r="BM77" i="22"/>
  <c r="BH94" i="22"/>
  <c r="BF84" i="22"/>
  <c r="BD84" i="22"/>
  <c r="BN83" i="22"/>
  <c r="BF79" i="22"/>
  <c r="BE79" i="22"/>
  <c r="BD25" i="22"/>
  <c r="BN20" i="22"/>
  <c r="BG63" i="22"/>
  <c r="BD23" i="22"/>
  <c r="BJ89" i="22"/>
  <c r="BJ40" i="22"/>
  <c r="BI69" i="6"/>
  <c r="BM98" i="22"/>
  <c r="BN136" i="22"/>
  <c r="BF10" i="22"/>
  <c r="BM30" i="22"/>
  <c r="BN144" i="22"/>
  <c r="BN12" i="22"/>
  <c r="BF9" i="22"/>
  <c r="BF97" i="22"/>
  <c r="BJ104" i="22"/>
  <c r="BJ39" i="22"/>
  <c r="BI38" i="6"/>
  <c r="BN94" i="22"/>
  <c r="BN135" i="22"/>
  <c r="BH8" i="22"/>
  <c r="BH27" i="22"/>
  <c r="BH143" i="22"/>
  <c r="BH9" i="22"/>
  <c r="BF8" i="22"/>
  <c r="BJ97" i="22"/>
  <c r="BJ35" i="22"/>
  <c r="BI110" i="22"/>
  <c r="BM113" i="22"/>
  <c r="BM25" i="22"/>
  <c r="BG38" i="22"/>
  <c r="BH50" i="22"/>
  <c r="BM41" i="22"/>
  <c r="BN42" i="22"/>
  <c r="BJ138" i="22"/>
  <c r="BJ86" i="22"/>
  <c r="BJ14" i="22"/>
  <c r="BI106" i="6"/>
  <c r="BH72" i="22"/>
  <c r="BN98" i="22"/>
  <c r="BH116" i="22"/>
  <c r="BF109" i="22"/>
  <c r="BE109" i="22"/>
  <c r="BD109" i="22"/>
  <c r="BM106" i="22"/>
  <c r="BN109" i="22"/>
  <c r="BE116" i="22"/>
  <c r="BF72" i="22"/>
  <c r="BN8" i="22"/>
  <c r="BJ145" i="22"/>
  <c r="BJ87" i="22"/>
  <c r="BE107" i="22"/>
  <c r="BG118" i="22"/>
  <c r="BE67" i="22"/>
  <c r="BD50" i="22"/>
  <c r="BD20" i="22"/>
  <c r="BG54" i="22"/>
  <c r="BG21" i="22"/>
  <c r="BE138" i="22"/>
  <c r="BH92" i="22"/>
  <c r="BM61" i="22"/>
  <c r="BJ79" i="22"/>
  <c r="BD106" i="22"/>
  <c r="BM116" i="22"/>
  <c r="BN64" i="22"/>
  <c r="BH46" i="22"/>
  <c r="BH15" i="22"/>
  <c r="BE46" i="22"/>
  <c r="BJ63" i="22"/>
  <c r="BJ23" i="22"/>
  <c r="BI15" i="22"/>
  <c r="BJ117" i="22"/>
  <c r="BD24" i="22"/>
  <c r="BH37" i="22"/>
  <c r="BN88" i="22"/>
  <c r="BE39" i="22"/>
  <c r="BM88" i="22"/>
  <c r="BF57" i="22"/>
  <c r="BN16" i="22"/>
  <c r="BE29" i="22"/>
  <c r="BJ32" i="22"/>
  <c r="BG35" i="22"/>
  <c r="BE37" i="22"/>
  <c r="BE38" i="22"/>
  <c r="BE129" i="22"/>
  <c r="BD80" i="22"/>
  <c r="BI11" i="22"/>
  <c r="BH129" i="22"/>
  <c r="BH89" i="22"/>
  <c r="BJ27" i="22"/>
  <c r="BE15" i="22"/>
  <c r="BH34" i="22"/>
  <c r="BN28" i="22"/>
  <c r="BF119" i="22"/>
  <c r="BD88" i="22"/>
  <c r="BN72" i="22"/>
  <c r="BE136" i="22"/>
  <c r="BB41" i="15"/>
  <c r="BG77" i="22"/>
  <c r="BM17" i="22"/>
  <c r="BE73" i="22"/>
  <c r="BE70" i="22"/>
  <c r="BD100" i="22"/>
  <c r="BH117" i="22"/>
  <c r="BJ124" i="22"/>
  <c r="BJ46" i="22"/>
  <c r="BI69" i="22"/>
  <c r="BF118" i="22"/>
  <c r="BG30" i="22"/>
  <c r="BM54" i="22"/>
  <c r="BG60" i="22"/>
  <c r="BE48" i="22"/>
  <c r="BM50" i="22"/>
  <c r="BE49" i="22"/>
  <c r="BG45" i="22"/>
  <c r="BJ127" i="22"/>
  <c r="BJ57" i="22"/>
  <c r="BI36" i="22"/>
  <c r="BN128" i="22"/>
  <c r="BM37" i="22"/>
  <c r="BE63" i="22"/>
  <c r="BG71" i="22"/>
  <c r="BG64" i="22"/>
  <c r="BM65" i="22"/>
  <c r="BN63" i="22"/>
  <c r="BN55" i="22"/>
  <c r="BM58" i="22"/>
  <c r="BF5" i="22"/>
  <c r="BE105" i="22"/>
  <c r="BN19" i="22"/>
  <c r="BF128" i="22"/>
  <c r="BJ76" i="22"/>
  <c r="BJ20" i="22"/>
  <c r="BI59" i="6"/>
  <c r="BM83" i="22"/>
  <c r="BM120" i="22"/>
  <c r="BM140" i="22"/>
  <c r="BF130" i="22"/>
  <c r="BE130" i="22"/>
  <c r="BD130" i="22"/>
  <c r="BN129" i="22"/>
  <c r="BH76" i="22"/>
  <c r="BJ83" i="22"/>
  <c r="BJ21" i="22"/>
  <c r="BI36" i="6"/>
  <c r="BM82" i="22"/>
  <c r="BM119" i="22"/>
  <c r="BM139" i="22"/>
  <c r="BD129" i="22"/>
  <c r="BM128" i="22"/>
  <c r="BH126" i="22"/>
  <c r="BF126" i="22"/>
  <c r="BJ99" i="22"/>
  <c r="BJ28" i="22"/>
  <c r="BI24" i="6"/>
  <c r="BE106" i="22"/>
  <c r="BD143" i="22"/>
  <c r="BM22" i="22"/>
  <c r="BG39" i="22"/>
  <c r="BM20" i="22"/>
  <c r="BN21" i="22"/>
  <c r="BJ122" i="22"/>
  <c r="BJ51" i="22"/>
  <c r="BI24" i="22"/>
  <c r="BM144" i="22"/>
  <c r="BG56" i="22"/>
  <c r="BF82" i="22"/>
  <c r="BE101" i="22"/>
  <c r="BG92" i="22"/>
  <c r="BN90" i="22"/>
  <c r="BD92" i="22"/>
  <c r="BD89" i="22"/>
  <c r="BG87" i="22"/>
  <c r="BE51" i="22"/>
  <c r="BN34" i="22"/>
  <c r="BF88" i="22"/>
  <c r="BJ140" i="22"/>
  <c r="BJ61" i="22"/>
  <c r="BE57" i="22"/>
  <c r="BN51" i="22"/>
  <c r="BE45" i="22"/>
  <c r="BM9" i="22"/>
  <c r="BG100" i="22"/>
  <c r="BG14" i="22"/>
  <c r="BN115" i="22"/>
  <c r="BF143" i="22"/>
  <c r="BB42" i="15"/>
  <c r="BE104" i="22"/>
  <c r="BJ52" i="22"/>
  <c r="BM55" i="22"/>
  <c r="BG50" i="22"/>
  <c r="BF42" i="22"/>
  <c r="BM7" i="22"/>
  <c r="BH91" i="22"/>
  <c r="BN118" i="22"/>
  <c r="BM101" i="22"/>
  <c r="BF44" i="22"/>
  <c r="BI37" i="6"/>
  <c r="BJ78" i="22"/>
  <c r="BH97" i="22"/>
  <c r="BF107" i="22"/>
  <c r="BD60" i="22"/>
  <c r="BD136" i="22"/>
  <c r="BF15" i="22"/>
  <c r="BF131" i="22"/>
  <c r="BD19" i="22"/>
  <c r="BG72" i="22"/>
  <c r="BJ10" i="22"/>
  <c r="BH111" i="22"/>
  <c r="BD124" i="22"/>
  <c r="BH120" i="22"/>
  <c r="BM142" i="22"/>
  <c r="BI60" i="22"/>
  <c r="BD121" i="22"/>
  <c r="BJ108" i="22"/>
  <c r="BJ45" i="22"/>
  <c r="BI41" i="22"/>
  <c r="BF110" i="22"/>
  <c r="BE22" i="22"/>
  <c r="BN33" i="22"/>
  <c r="BH43" i="22"/>
  <c r="BG33" i="22"/>
  <c r="BE33" i="22"/>
  <c r="BF29" i="22"/>
  <c r="BH25" i="22"/>
  <c r="BJ109" i="22"/>
  <c r="BJ38" i="22"/>
  <c r="BI38" i="22"/>
  <c r="BF117" i="22"/>
  <c r="BG29" i="22"/>
  <c r="BM53" i="22"/>
  <c r="BF59" i="22"/>
  <c r="BN45" i="22"/>
  <c r="BF49" i="22"/>
  <c r="BH45" i="22"/>
  <c r="BN43" i="22"/>
  <c r="BM43" i="22"/>
  <c r="BF112" i="22"/>
  <c r="BM56" i="22"/>
  <c r="BG134" i="22"/>
  <c r="BJ141" i="22"/>
  <c r="BJ84" i="22"/>
  <c r="BJ24" i="22"/>
  <c r="BI51" i="6"/>
  <c r="BG76" i="22"/>
  <c r="BF102" i="22"/>
  <c r="BG129" i="22"/>
  <c r="BH114" i="22"/>
  <c r="BG114" i="22"/>
  <c r="BN112" i="22"/>
  <c r="BE114" i="22"/>
  <c r="BJ133" i="22"/>
  <c r="BJ75" i="22"/>
  <c r="BJ5" i="22"/>
  <c r="BI33" i="6"/>
  <c r="BH74" i="22"/>
  <c r="BF101" i="22"/>
  <c r="BG128" i="22"/>
  <c r="BF113" i="22"/>
  <c r="BE113" i="22"/>
  <c r="BG111" i="22"/>
  <c r="BF111" i="22"/>
  <c r="BJ103" i="22"/>
  <c r="BJ31" i="22"/>
  <c r="BI14" i="6"/>
  <c r="BF92" i="22"/>
  <c r="BN134" i="22"/>
  <c r="BF6" i="22"/>
  <c r="BD145" i="22"/>
  <c r="BE142" i="22"/>
  <c r="BG8" i="22"/>
  <c r="BJ112" i="22"/>
  <c r="BJ50" i="22"/>
  <c r="BI70" i="22"/>
  <c r="BM134" i="22"/>
  <c r="BF45" i="22"/>
  <c r="BH70" i="22"/>
  <c r="BF83" i="22"/>
  <c r="BF73" i="22"/>
  <c r="BN76" i="22"/>
  <c r="BG74" i="22"/>
  <c r="BE71" i="22"/>
  <c r="BN70" i="22"/>
  <c r="BH14" i="22"/>
  <c r="BD128" i="22"/>
  <c r="BG48" i="22"/>
  <c r="BJ114" i="22"/>
  <c r="BJ17" i="22"/>
  <c r="BM136" i="22"/>
  <c r="BN6" i="22"/>
  <c r="BH145" i="22"/>
  <c r="BN92" i="22"/>
  <c r="BM44" i="22"/>
  <c r="BF36" i="22"/>
  <c r="BG31" i="22"/>
  <c r="BG137" i="22"/>
  <c r="BJ80" i="22"/>
  <c r="BE91" i="22"/>
  <c r="BJ13" i="22"/>
  <c r="BM135" i="22"/>
  <c r="BG140" i="22"/>
  <c r="BF141" i="22"/>
  <c r="BN84" i="22"/>
  <c r="BN40" i="22"/>
  <c r="BG13" i="22"/>
  <c r="BM15" i="22"/>
  <c r="BD82" i="22"/>
  <c r="BG43" i="22"/>
  <c r="BJ33" i="22"/>
  <c r="BG36" i="22"/>
  <c r="BG41" i="22"/>
  <c r="BE41" i="22"/>
  <c r="BH31" i="22"/>
  <c r="BD99" i="22"/>
  <c r="BF13" i="22"/>
  <c r="BN18" i="22"/>
  <c r="BN96" i="22"/>
  <c r="BI33" i="22"/>
  <c r="BH44" i="22"/>
  <c r="BG85" i="22"/>
  <c r="BM28" i="22"/>
  <c r="BD27" i="22"/>
  <c r="BH121" i="22"/>
  <c r="BM21" i="22"/>
  <c r="BG34" i="22"/>
  <c r="BF71" i="22"/>
  <c r="BI70" i="6"/>
  <c r="BF37" i="22"/>
  <c r="BF74" i="22"/>
  <c r="BF25" i="22"/>
  <c r="BM34" i="22"/>
  <c r="BF21" i="22"/>
  <c r="BG25" i="22"/>
  <c r="BD10" i="22"/>
  <c r="BJ42" i="22"/>
  <c r="BB40" i="15"/>
  <c r="BN11" i="22"/>
  <c r="BI29" i="6"/>
  <c r="BN46" i="22"/>
  <c r="BG120" i="22"/>
  <c r="BJ90" i="22"/>
  <c r="BJ26" i="22"/>
  <c r="BI15" i="6"/>
  <c r="BN100" i="22"/>
  <c r="BN138" i="22"/>
  <c r="BH13" i="22"/>
  <c r="BE35" i="22"/>
  <c r="BD13" i="22"/>
  <c r="BM14" i="22"/>
  <c r="BM13" i="22"/>
  <c r="BE9" i="22"/>
  <c r="BJ100" i="22"/>
  <c r="BJ37" i="22"/>
  <c r="BI142" i="6"/>
  <c r="BH109" i="22"/>
  <c r="BD21" i="22"/>
  <c r="BN30" i="22"/>
  <c r="BG42" i="22"/>
  <c r="BE31" i="22"/>
  <c r="BD31" i="22"/>
  <c r="BM27" i="22"/>
  <c r="BF24" i="22"/>
  <c r="BE24" i="22"/>
  <c r="BM64" i="22"/>
  <c r="BF20" i="22"/>
  <c r="BF87" i="22"/>
  <c r="BJ135" i="22"/>
  <c r="BJ74" i="22"/>
  <c r="BI142" i="22"/>
  <c r="BN5" i="22"/>
  <c r="BG59" i="22"/>
  <c r="BM90" i="22"/>
  <c r="BN105" i="22"/>
  <c r="BM99" i="22"/>
  <c r="BH96" i="22"/>
  <c r="BM97" i="22"/>
  <c r="BD96" i="22"/>
  <c r="BJ134" i="22"/>
  <c r="BJ67" i="22"/>
  <c r="BI76" i="22"/>
  <c r="BM5" i="22"/>
  <c r="BH58" i="22"/>
  <c r="BH84" i="22"/>
  <c r="BN104" i="22"/>
  <c r="BF98" i="22"/>
  <c r="BF94" i="22"/>
  <c r="BE96" i="22"/>
  <c r="BN91" i="22"/>
  <c r="BJ82" i="22"/>
  <c r="BJ19" i="22"/>
  <c r="BI10" i="6"/>
  <c r="BM81" i="22"/>
  <c r="BM118" i="22"/>
  <c r="BM138" i="22"/>
  <c r="BN126" i="22"/>
  <c r="BM126" i="22"/>
  <c r="BF124" i="22"/>
  <c r="BJ126" i="22"/>
  <c r="BJ54" i="22"/>
  <c r="BI6" i="22"/>
  <c r="BN120" i="22"/>
  <c r="BE34" i="22"/>
  <c r="BG58" i="22"/>
  <c r="BD64" i="22"/>
  <c r="BE52" i="22"/>
  <c r="BN54" i="22"/>
  <c r="BF53" i="22"/>
  <c r="BF50" i="22"/>
  <c r="BH51" i="22"/>
  <c r="BF129" i="22"/>
  <c r="BF77" i="22"/>
  <c r="BN10" i="22"/>
  <c r="BJ111" i="22"/>
  <c r="BI29" i="22"/>
  <c r="BD63" i="22"/>
  <c r="BG102" i="22"/>
  <c r="BN82" i="22"/>
  <c r="BE42" i="22"/>
  <c r="BF138" i="22"/>
  <c r="BG89" i="22"/>
  <c r="BM59" i="22"/>
  <c r="BE50" i="22"/>
  <c r="BM130" i="22"/>
  <c r="BD54" i="22"/>
  <c r="BI114" i="22"/>
  <c r="BG61" i="22"/>
  <c r="BG90" i="22"/>
  <c r="BN73" i="22"/>
  <c r="BN38" i="22"/>
  <c r="BN130" i="22"/>
  <c r="BN29" i="22"/>
  <c r="BH119" i="22"/>
  <c r="BD138" i="22"/>
  <c r="BG135" i="22"/>
  <c r="BJ11" i="22"/>
  <c r="BH112" i="22"/>
  <c r="BD139" i="22"/>
  <c r="BE55" i="22"/>
  <c r="BN111" i="22"/>
  <c r="BE72" i="22"/>
  <c r="BF106" i="22"/>
  <c r="BM96" i="22"/>
  <c r="BF48" i="22"/>
  <c r="BJ72" i="22"/>
  <c r="BJ16" i="22"/>
  <c r="BI11" i="6"/>
  <c r="BN85" i="22"/>
  <c r="BN124" i="22"/>
  <c r="BN142" i="22"/>
  <c r="BE134" i="22"/>
  <c r="BD134" i="22"/>
  <c r="BG136" i="22"/>
  <c r="BF136" i="22"/>
  <c r="BN132" i="22"/>
  <c r="BJ105" i="22"/>
  <c r="BJ41" i="22"/>
  <c r="BI114" i="6"/>
  <c r="BN99" i="22"/>
  <c r="BN137" i="22"/>
  <c r="BF11" i="22"/>
  <c r="BM33" i="22"/>
  <c r="BM11" i="22"/>
  <c r="BN13" i="22"/>
  <c r="BM12" i="22"/>
  <c r="BE8" i="22"/>
  <c r="BH113" i="22"/>
  <c r="BN24" i="22"/>
  <c r="BM104" i="22"/>
  <c r="BH33" i="22"/>
  <c r="BJ113" i="22"/>
  <c r="BJ60" i="22"/>
  <c r="BI7" i="22"/>
  <c r="BE140" i="22"/>
  <c r="BM49" i="22"/>
  <c r="BM76" i="22"/>
  <c r="BH88" i="22"/>
  <c r="BG81" i="22"/>
  <c r="BF81" i="22"/>
  <c r="BH82" i="22"/>
  <c r="BN77" i="22"/>
  <c r="BJ128" i="22"/>
  <c r="BJ66" i="22"/>
  <c r="BI106" i="22"/>
  <c r="BF139" i="22"/>
  <c r="BN48" i="22"/>
  <c r="BN74" i="22"/>
  <c r="BH87" i="22"/>
  <c r="BG78" i="22"/>
  <c r="BH79" i="22"/>
  <c r="BG79" i="22"/>
  <c r="BJ131" i="22"/>
  <c r="BJ81" i="22"/>
  <c r="BJ15" i="22"/>
  <c r="BI6" i="6"/>
  <c r="BH73" i="22"/>
  <c r="BF100" i="22"/>
  <c r="BM124" i="22"/>
  <c r="BH110" i="22"/>
  <c r="BG110" i="22"/>
  <c r="BE110" i="22"/>
  <c r="BJ96" i="22"/>
  <c r="BJ34" i="22"/>
  <c r="BI58" i="22"/>
  <c r="BM112" i="22"/>
  <c r="BM24" i="22"/>
  <c r="BG37" i="22"/>
  <c r="BH49" i="22"/>
  <c r="BG40" i="22"/>
  <c r="BE40" i="22"/>
  <c r="BN39" i="22"/>
  <c r="BM36" i="22"/>
  <c r="BH30" i="22"/>
  <c r="BN89" i="22"/>
  <c r="BJ62" i="22"/>
  <c r="BH85" i="22"/>
  <c r="BN106" i="22"/>
  <c r="BM114" i="22"/>
  <c r="BH41" i="22"/>
  <c r="BD107" i="22"/>
  <c r="BJ55" i="22"/>
  <c r="BE56" i="22"/>
  <c r="BN131" i="22"/>
  <c r="BD7" i="22"/>
  <c r="BD12" i="22"/>
  <c r="BJ118" i="22"/>
  <c r="BG53" i="22"/>
  <c r="BE11" i="22"/>
  <c r="BM29" i="22"/>
  <c r="BF104" i="22"/>
  <c r="BN119" i="22"/>
  <c r="BD115" i="22"/>
  <c r="BM40" i="22"/>
  <c r="BH78" i="22"/>
  <c r="BM87" i="22"/>
  <c r="BB45" i="15"/>
  <c r="BH128" i="22"/>
  <c r="BN35" i="22"/>
  <c r="BH35" i="22"/>
  <c r="BH80" i="22"/>
  <c r="BF120" i="22"/>
  <c r="BN14" i="22"/>
  <c r="BH28" i="22"/>
  <c r="BG97" i="22"/>
  <c r="BH105" i="22"/>
  <c r="BF14" i="22"/>
  <c r="BG46" i="22"/>
  <c r="BJ144" i="22"/>
  <c r="BD119" i="22"/>
  <c r="BD97" i="22"/>
  <c r="BD91" i="22"/>
  <c r="BI59" i="22"/>
  <c r="BG82" i="22"/>
  <c r="BH101" i="22"/>
  <c r="BF41" i="22"/>
  <c r="BD28" i="22"/>
  <c r="BE144" i="22"/>
  <c r="BI51" i="22"/>
  <c r="BJ73" i="22"/>
  <c r="BM117" i="22"/>
  <c r="BE121" i="22"/>
  <c r="BD112" i="22"/>
  <c r="BJ106" i="22"/>
  <c r="BE53" i="22"/>
  <c r="BE76" i="22"/>
  <c r="BF132" i="22"/>
  <c r="BH64" i="22"/>
  <c r="BD52" i="22"/>
  <c r="BD9" i="22"/>
  <c r="BM109" i="22"/>
  <c r="BG88" i="22"/>
  <c r="BE17" i="22"/>
  <c r="BN139" i="22"/>
  <c r="BF17" i="22"/>
  <c r="BM35" i="22"/>
  <c r="BD42" i="22"/>
  <c r="BH100" i="22"/>
  <c r="BJ94" i="22"/>
  <c r="BG17" i="22"/>
  <c r="BD140" i="22"/>
  <c r="BD14" i="22"/>
  <c r="BH98" i="22"/>
  <c r="BM85" i="22"/>
  <c r="BE19" i="22"/>
  <c r="BH22" i="22"/>
  <c r="BE120" i="22"/>
  <c r="BH38" i="22"/>
  <c r="BN79" i="22"/>
  <c r="BM71" i="22"/>
  <c r="BN141" i="22"/>
  <c r="BJ136" i="22"/>
  <c r="BN97" i="22"/>
  <c r="BJ92" i="22"/>
  <c r="BN27" i="22"/>
  <c r="BM23" i="22"/>
  <c r="BM121" i="22"/>
  <c r="BJ25" i="22"/>
  <c r="BD5" i="22"/>
  <c r="BE143" i="22"/>
  <c r="BN37" i="22"/>
  <c r="BJ132" i="22"/>
  <c r="BN125" i="22"/>
  <c r="BD79" i="22"/>
  <c r="BG69" i="22"/>
  <c r="BD15" i="22"/>
  <c r="BM51" i="22"/>
  <c r="BN71" i="22"/>
  <c r="BN44" i="22"/>
  <c r="BI107" i="22"/>
  <c r="BG119" i="22"/>
  <c r="BN52" i="22"/>
  <c r="BD18" i="22"/>
  <c r="BH104" i="22"/>
  <c r="BN59" i="22"/>
  <c r="BI60" i="6"/>
  <c r="BJ48" i="22"/>
  <c r="BE89" i="22"/>
  <c r="BH77" i="22"/>
  <c r="BH144" i="22"/>
  <c r="BN117" i="22"/>
  <c r="BM26" i="22"/>
  <c r="BM8" i="22"/>
  <c r="BD83" i="22"/>
  <c r="BN22" i="22"/>
  <c r="BM91" i="22"/>
  <c r="BB37" i="15"/>
  <c r="BN110" i="22"/>
  <c r="BG113" i="22"/>
  <c r="BH53" i="22"/>
  <c r="BJ68" i="22"/>
  <c r="BD101" i="22"/>
  <c r="BJ29" i="22"/>
  <c r="BG24" i="22"/>
  <c r="BH40" i="22"/>
  <c r="BF35" i="22"/>
  <c r="BJ18" i="22"/>
  <c r="BM137" i="22"/>
  <c r="BH122" i="22"/>
  <c r="BF80" i="22"/>
  <c r="BI58" i="6"/>
  <c r="BD102" i="22"/>
  <c r="C18" i="15"/>
  <c r="BN102" i="22"/>
  <c r="BJ115" i="22"/>
  <c r="BN123" i="22"/>
  <c r="BF63" i="22"/>
  <c r="BM94" i="22"/>
  <c r="BM111" i="22"/>
  <c r="BE137" i="22"/>
  <c r="BD137" i="22"/>
  <c r="BJ110" i="22"/>
  <c r="BE10" i="22"/>
  <c r="BD11" i="22"/>
  <c r="BE74" i="22"/>
  <c r="BM143" i="22"/>
  <c r="BM39" i="22"/>
  <c r="BE28" i="22"/>
  <c r="BM18" i="22"/>
  <c r="BG80" i="22"/>
  <c r="BH56" i="22"/>
  <c r="BN69" i="22"/>
  <c r="BM125" i="22"/>
  <c r="BM78" i="22"/>
  <c r="BJ6" i="22"/>
  <c r="BH99" i="22"/>
  <c r="BI76" i="6"/>
  <c r="BD114" i="22"/>
  <c r="BG22" i="22"/>
  <c r="BH59" i="22"/>
  <c r="BI111" i="6"/>
  <c r="BF142" i="22"/>
  <c r="BF140" i="22"/>
  <c r="BN41" i="22"/>
  <c r="BM79" i="22"/>
  <c r="BD8" i="22"/>
  <c r="BI39" i="6"/>
  <c r="BE14" i="22"/>
  <c r="BI35" i="6"/>
  <c r="BF90" i="22"/>
  <c r="BF134" i="22"/>
  <c r="BD110" i="22"/>
  <c r="BH71" i="22"/>
  <c r="BN7" i="22"/>
  <c r="BI39" i="22"/>
  <c r="BJ70" i="22"/>
  <c r="BD85" i="22"/>
  <c r="BN23" i="22"/>
  <c r="BE69" i="22"/>
  <c r="BG104" i="22"/>
  <c r="BN145" i="22"/>
  <c r="BE61" i="22"/>
  <c r="BN49" i="22"/>
  <c r="BI40" i="6"/>
  <c r="BF121" i="22"/>
  <c r="BG96" i="22"/>
  <c r="BM48" i="22"/>
  <c r="BF96" i="22"/>
  <c r="BI5" i="22"/>
  <c r="BF99" i="22"/>
  <c r="BM107" i="22"/>
  <c r="BJ107" i="22"/>
  <c r="BG23" i="22"/>
  <c r="BG67" i="22"/>
  <c r="BI109" i="6"/>
  <c r="BM122" i="22"/>
  <c r="BF122" i="22"/>
  <c r="BN113" i="22"/>
  <c r="BF33" i="22"/>
  <c r="BF12" i="22"/>
  <c r="BN87" i="22"/>
  <c r="BN26" i="22"/>
  <c r="BN78" i="22"/>
  <c r="BE141" i="22"/>
  <c r="BH81" i="22"/>
  <c r="BN53" i="22"/>
  <c r="BH48" i="22"/>
  <c r="BH106" i="22"/>
  <c r="BG18" i="22"/>
  <c r="BD111" i="22"/>
  <c r="BH57" i="22"/>
  <c r="BM70" i="22"/>
  <c r="BM19" i="22"/>
  <c r="BN140" i="22"/>
  <c r="BN81" i="22"/>
  <c r="BG142" i="22"/>
  <c r="BJ56" i="22"/>
  <c r="BD144" i="22"/>
  <c r="BF54" i="22"/>
  <c r="BH90" i="22"/>
  <c r="BJ123" i="22"/>
  <c r="BH124" i="22"/>
  <c r="BF135" i="22"/>
  <c r="BF91" i="22"/>
  <c r="BM16" i="22"/>
  <c r="BE88" i="22"/>
  <c r="BF60" i="22"/>
  <c r="BD90" i="22"/>
  <c r="BF145" i="22"/>
  <c r="BJ44" i="22"/>
  <c r="BF23" i="22"/>
  <c r="BD55" i="22"/>
  <c r="BG91" i="22"/>
  <c r="BG139" i="22"/>
  <c r="BD87" i="22"/>
  <c r="BE13" i="22"/>
  <c r="BG121" i="22"/>
  <c r="BD116" i="22"/>
  <c r="BE27" i="22"/>
  <c r="BH67" i="22"/>
  <c r="BF31" i="22"/>
  <c r="BN9" i="22"/>
  <c r="BG51" i="22"/>
  <c r="BH55" i="22"/>
  <c r="BM38" i="22"/>
  <c r="BD67" i="22"/>
  <c r="BM63" i="22"/>
  <c r="BE23" i="22"/>
  <c r="BH36" i="22"/>
  <c r="BB33" i="15"/>
  <c r="BJ47" i="22"/>
  <c r="BD81" i="22"/>
  <c r="BJ98" i="22"/>
  <c r="BN25" i="22"/>
  <c r="BM80" i="22"/>
  <c r="BG109" i="22"/>
  <c r="BG107" i="22"/>
  <c r="BL81" i="22" l="1"/>
  <c r="BK36" i="22"/>
  <c r="BL67" i="22"/>
  <c r="BK55" i="22"/>
  <c r="BK67" i="22"/>
  <c r="BL116" i="22"/>
  <c r="BL87" i="22"/>
  <c r="BL55" i="22"/>
  <c r="BL90" i="22"/>
  <c r="BK124" i="22"/>
  <c r="BK90" i="22"/>
  <c r="BL144" i="22"/>
  <c r="BK57" i="22"/>
  <c r="BL111" i="22"/>
  <c r="BK48" i="22"/>
  <c r="BK81" i="22"/>
  <c r="BK5" i="22"/>
  <c r="BI150" i="22"/>
  <c r="BI151" i="22"/>
  <c r="BL69" i="22"/>
  <c r="BL85" i="22"/>
  <c r="BK39" i="22"/>
  <c r="BK71" i="22"/>
  <c r="BL110" i="22"/>
  <c r="BL8" i="22"/>
  <c r="BL114" i="22"/>
  <c r="BK99" i="22"/>
  <c r="BK56" i="22"/>
  <c r="BL74" i="22"/>
  <c r="BL11" i="22"/>
  <c r="BL137" i="22"/>
  <c r="BL102" i="22"/>
  <c r="BK122" i="22"/>
  <c r="BL101" i="22"/>
  <c r="BK53" i="22"/>
  <c r="BL83" i="22"/>
  <c r="BK144" i="22"/>
  <c r="BK77" i="22"/>
  <c r="BK104" i="22"/>
  <c r="BL18" i="22"/>
  <c r="BK107" i="22"/>
  <c r="BL15" i="22"/>
  <c r="BL79" i="22"/>
  <c r="BL5" i="22"/>
  <c r="BD151" i="22"/>
  <c r="BD150" i="22"/>
  <c r="BD152" i="22" s="1"/>
  <c r="BK38" i="22"/>
  <c r="BK22" i="22"/>
  <c r="BK98" i="22"/>
  <c r="BL14" i="22"/>
  <c r="BL140" i="22"/>
  <c r="BK100" i="22"/>
  <c r="BL42" i="22"/>
  <c r="BL17" i="22"/>
  <c r="BL9" i="22"/>
  <c r="BL52" i="22"/>
  <c r="BK64" i="22"/>
  <c r="BL132" i="22"/>
  <c r="BL76" i="22"/>
  <c r="BL53" i="22"/>
  <c r="BL112" i="22"/>
  <c r="BL28" i="22"/>
  <c r="BK101" i="22"/>
  <c r="BK59" i="22"/>
  <c r="BL91" i="22"/>
  <c r="BL97" i="22"/>
  <c r="BL119" i="22"/>
  <c r="BK105" i="22"/>
  <c r="BK28" i="22"/>
  <c r="BK80" i="22"/>
  <c r="BK35" i="22"/>
  <c r="BK128" i="22"/>
  <c r="BK78" i="22"/>
  <c r="BL115" i="22"/>
  <c r="BL12" i="22"/>
  <c r="BL7" i="22"/>
  <c r="BL56" i="22"/>
  <c r="BL107" i="22"/>
  <c r="BK41" i="22"/>
  <c r="BK85" i="22"/>
  <c r="BK30" i="22"/>
  <c r="BL40" i="22"/>
  <c r="BK49" i="22"/>
  <c r="BK58" i="22"/>
  <c r="BK73" i="22"/>
  <c r="BK79" i="22"/>
  <c r="BK87" i="22"/>
  <c r="BK106" i="22"/>
  <c r="BK82" i="22"/>
  <c r="BK88" i="22"/>
  <c r="BK7" i="22"/>
  <c r="BK33" i="22"/>
  <c r="BK113" i="22"/>
  <c r="BE151" i="22"/>
  <c r="BE150" i="22"/>
  <c r="BE152" i="22" s="1"/>
  <c r="BL134" i="22"/>
  <c r="BL72" i="22"/>
  <c r="BL139" i="22"/>
  <c r="BK112" i="22"/>
  <c r="BL138" i="22"/>
  <c r="BK119" i="22"/>
  <c r="BK114" i="22"/>
  <c r="BL54" i="22"/>
  <c r="BL63" i="22"/>
  <c r="BK29" i="22"/>
  <c r="BK51" i="22"/>
  <c r="BL64" i="22"/>
  <c r="BL34" i="22"/>
  <c r="BK6" i="22"/>
  <c r="BL98" i="22"/>
  <c r="BK84" i="22"/>
  <c r="BK76" i="22"/>
  <c r="BL96" i="22"/>
  <c r="BK96" i="22"/>
  <c r="BK142" i="22"/>
  <c r="BL31" i="22"/>
  <c r="BL21" i="22"/>
  <c r="BL13" i="22"/>
  <c r="BL35" i="22"/>
  <c r="BK13" i="22"/>
  <c r="BL10" i="22"/>
  <c r="BK121" i="22"/>
  <c r="BL27" i="22"/>
  <c r="BK44" i="22"/>
  <c r="BL99" i="22"/>
  <c r="BK31" i="22"/>
  <c r="BL41" i="22"/>
  <c r="BL82" i="22"/>
  <c r="BK145" i="22"/>
  <c r="BL128" i="22"/>
  <c r="BL71" i="22"/>
  <c r="BK70" i="22"/>
  <c r="BG150" i="22"/>
  <c r="BG151" i="22"/>
  <c r="BL145" i="22"/>
  <c r="BL113" i="22"/>
  <c r="BK74" i="22"/>
  <c r="BJ150" i="22"/>
  <c r="BJ151" i="22"/>
  <c r="BK45" i="22"/>
  <c r="BK25" i="22"/>
  <c r="BL33" i="22"/>
  <c r="BK43" i="22"/>
  <c r="BL22" i="22"/>
  <c r="BL121" i="22"/>
  <c r="BK60" i="22"/>
  <c r="BK120" i="22"/>
  <c r="BL124" i="22"/>
  <c r="BL19" i="22"/>
  <c r="BL131" i="22"/>
  <c r="BL136" i="22"/>
  <c r="BL60" i="22"/>
  <c r="BK97" i="22"/>
  <c r="BK91" i="22"/>
  <c r="BL45" i="22"/>
  <c r="BL57" i="22"/>
  <c r="BL51" i="22"/>
  <c r="BL89" i="22"/>
  <c r="BL92" i="22"/>
  <c r="BK24" i="22"/>
  <c r="BL143" i="22"/>
  <c r="BK126" i="22"/>
  <c r="BL129" i="22"/>
  <c r="BL130" i="22"/>
  <c r="BF150" i="22"/>
  <c r="BF151" i="22"/>
  <c r="BL48" i="22"/>
  <c r="BK117" i="22"/>
  <c r="BL100" i="22"/>
  <c r="BL70" i="22"/>
  <c r="BL73" i="22"/>
  <c r="BL88" i="22"/>
  <c r="BK34" i="22"/>
  <c r="BK89" i="22"/>
  <c r="BK129" i="22"/>
  <c r="BK11" i="22"/>
  <c r="BL80" i="22"/>
  <c r="BL38" i="22"/>
  <c r="BL37" i="22"/>
  <c r="BL29" i="22"/>
  <c r="BL39" i="22"/>
  <c r="BK37" i="22"/>
  <c r="BL24" i="22"/>
  <c r="BK15" i="22"/>
  <c r="BL46" i="22"/>
  <c r="BK46" i="22"/>
  <c r="BL106" i="22"/>
  <c r="BK92" i="22"/>
  <c r="BL20" i="22"/>
  <c r="BL50" i="22"/>
  <c r="BL109" i="22"/>
  <c r="BK116" i="22"/>
  <c r="BK72" i="22"/>
  <c r="BK50" i="22"/>
  <c r="BK110" i="22"/>
  <c r="BK9" i="22"/>
  <c r="BK143" i="22"/>
  <c r="BK27" i="22"/>
  <c r="BH150" i="22"/>
  <c r="BK8" i="22"/>
  <c r="BH151" i="22"/>
  <c r="BL23" i="22"/>
  <c r="BL25" i="22"/>
  <c r="BL84" i="22"/>
  <c r="BK94" i="22"/>
  <c r="BK52" i="22"/>
  <c r="BL141" i="22"/>
  <c r="BK109" i="22"/>
  <c r="BK42" i="22"/>
  <c r="BL77" i="22"/>
  <c r="BK115" i="22"/>
  <c r="BL43" i="22"/>
  <c r="BK111" i="22"/>
  <c r="BL44" i="22"/>
  <c r="BL58" i="22"/>
  <c r="BK14" i="22"/>
  <c r="BK130" i="22"/>
  <c r="BL104" i="22"/>
  <c r="BK102" i="22"/>
  <c r="BL61" i="22"/>
  <c r="BL30" i="22"/>
  <c r="BL118" i="22"/>
  <c r="BK83" i="22"/>
  <c r="BL49" i="22"/>
  <c r="BL6" i="22"/>
  <c r="BL148" i="22" s="1"/>
  <c r="BK69" i="22"/>
  <c r="BL120" i="22"/>
  <c r="BL122" i="22"/>
  <c r="BK18" i="22"/>
  <c r="BK20" i="22"/>
  <c r="BL142" i="22"/>
  <c r="BL94" i="22"/>
  <c r="BK40" i="22"/>
  <c r="BL59" i="22"/>
  <c r="BL36" i="22"/>
  <c r="BK54" i="22"/>
  <c r="BK61" i="22"/>
  <c r="BL126" i="22"/>
  <c r="BK10" i="22"/>
  <c r="BK63" i="22"/>
  <c r="BK131" i="22"/>
  <c r="BL135" i="22"/>
  <c r="BK132" i="22"/>
  <c r="BK118" i="22"/>
  <c r="BL117" i="22"/>
  <c r="BL105" i="22"/>
  <c r="BL78" i="22"/>
  <c r="BK157" i="22"/>
  <c r="BJ16" i="6"/>
  <c r="BJ26" i="6"/>
  <c r="BJ32" i="6"/>
  <c r="BJ47" i="6"/>
  <c r="BJ62" i="6"/>
  <c r="BJ65" i="6"/>
  <c r="BJ66" i="6"/>
  <c r="BJ68" i="6"/>
  <c r="BJ75" i="6"/>
  <c r="BJ86" i="6"/>
  <c r="BJ93" i="6"/>
  <c r="BJ95" i="6"/>
  <c r="BJ103" i="6"/>
  <c r="BJ108" i="6"/>
  <c r="BJ123" i="6"/>
  <c r="BJ125" i="6"/>
  <c r="BJ127" i="6"/>
  <c r="BJ133" i="6"/>
  <c r="BK156" i="22" l="1"/>
  <c r="BK146" i="22"/>
  <c r="BH152" i="22"/>
  <c r="BF152" i="22"/>
  <c r="BG152" i="22"/>
  <c r="BK155" i="22"/>
  <c r="BK158" i="22" s="1"/>
  <c r="BJ152" i="22"/>
  <c r="BI152" i="22"/>
  <c r="AH6" i="5"/>
  <c r="AH7" i="5"/>
  <c r="AH8" i="5"/>
  <c r="AH9" i="5"/>
  <c r="AH10" i="5"/>
  <c r="AH12" i="5"/>
  <c r="AH15" i="5"/>
  <c r="AH16" i="5"/>
  <c r="AH17" i="5"/>
  <c r="AH18" i="5"/>
  <c r="AH19" i="5"/>
  <c r="AH20" i="5"/>
  <c r="AH21" i="5"/>
  <c r="AH23" i="5"/>
  <c r="AH24" i="5"/>
  <c r="AH25" i="5"/>
  <c r="AH26" i="5"/>
  <c r="AH29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4" i="5"/>
  <c r="AH55" i="5"/>
  <c r="AH57" i="5"/>
  <c r="AH58" i="5"/>
  <c r="AH60" i="5"/>
  <c r="AH62" i="5"/>
  <c r="AH63" i="5"/>
  <c r="AH64" i="5"/>
  <c r="AH65" i="5"/>
  <c r="AH66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8" i="5"/>
  <c r="AH89" i="5"/>
  <c r="AH90" i="5"/>
  <c r="AH91" i="5"/>
  <c r="AH92" i="5"/>
  <c r="AH93" i="5"/>
  <c r="AH94" i="5"/>
  <c r="AH95" i="5"/>
  <c r="AH97" i="5"/>
  <c r="AH100" i="5"/>
  <c r="AH101" i="5"/>
  <c r="AH103" i="5"/>
  <c r="AH104" i="5"/>
  <c r="AH105" i="5"/>
  <c r="AH108" i="5"/>
  <c r="AH112" i="5"/>
  <c r="AH113" i="5"/>
  <c r="AH116" i="5"/>
  <c r="AH118" i="5"/>
  <c r="AH119" i="5"/>
  <c r="AH120" i="5"/>
  <c r="AH121" i="5"/>
  <c r="AH123" i="5"/>
  <c r="AH125" i="5"/>
  <c r="AH127" i="5"/>
  <c r="AH129" i="5"/>
  <c r="AH132" i="5"/>
  <c r="AH133" i="5"/>
  <c r="AH134" i="5"/>
  <c r="AH135" i="5"/>
  <c r="AH136" i="5"/>
  <c r="AH137" i="5"/>
  <c r="AH138" i="5"/>
  <c r="AH139" i="5"/>
  <c r="AH140" i="5"/>
  <c r="AH141" i="5"/>
  <c r="AH142" i="5"/>
  <c r="AW5" i="5"/>
  <c r="AU10" i="5"/>
  <c r="AU7" i="5"/>
  <c r="AV5" i="5"/>
  <c r="AU5" i="5"/>
  <c r="AT6" i="5" a="1"/>
  <c r="AT6" i="5" s="1"/>
  <c r="AT7" i="5" a="1"/>
  <c r="AT7" i="5" s="1"/>
  <c r="AT8" i="5" a="1"/>
  <c r="AT8" i="5" s="1"/>
  <c r="AT9" i="5" a="1"/>
  <c r="AT9" i="5" s="1"/>
  <c r="AT10" i="5" a="1"/>
  <c r="AT10" i="5" s="1"/>
  <c r="AT11" i="5" a="1"/>
  <c r="AT11" i="5" s="1"/>
  <c r="AT12" i="5" a="1"/>
  <c r="AT12" i="5" s="1"/>
  <c r="AT13" i="5" a="1"/>
  <c r="AT13" i="5" s="1"/>
  <c r="AT14" i="5" a="1"/>
  <c r="AT14" i="5" s="1"/>
  <c r="AT15" i="5" a="1"/>
  <c r="AT15" i="5" s="1"/>
  <c r="AT16" i="5" a="1"/>
  <c r="AT16" i="5" s="1"/>
  <c r="AT17" i="5" a="1"/>
  <c r="AT17" i="5" s="1"/>
  <c r="AT18" i="5" a="1"/>
  <c r="AT18" i="5" s="1"/>
  <c r="AT19" i="5" a="1"/>
  <c r="AT19" i="5" s="1"/>
  <c r="AT20" i="5" a="1"/>
  <c r="AT20" i="5" s="1"/>
  <c r="AT21" i="5" a="1"/>
  <c r="AT21" i="5" s="1"/>
  <c r="AT22" i="5" a="1"/>
  <c r="AT22" i="5" s="1"/>
  <c r="AT23" i="5" a="1"/>
  <c r="AT23" i="5" s="1"/>
  <c r="AT24" i="5" a="1"/>
  <c r="AT24" i="5" s="1"/>
  <c r="AT25" i="5" a="1"/>
  <c r="AT25" i="5" s="1"/>
  <c r="AT26" i="5" a="1"/>
  <c r="AT26" i="5" s="1"/>
  <c r="AT27" i="5" a="1"/>
  <c r="AT27" i="5"/>
  <c r="AT28" i="5" a="1"/>
  <c r="AT28" i="5" s="1"/>
  <c r="AT29" i="5" a="1"/>
  <c r="AT29" i="5" s="1"/>
  <c r="AT30" i="5" a="1"/>
  <c r="AT30" i="5" s="1"/>
  <c r="AT31" i="5" a="1"/>
  <c r="AT31" i="5" s="1"/>
  <c r="AT32" i="5" a="1"/>
  <c r="AT32" i="5" s="1"/>
  <c r="AT33" i="5" a="1"/>
  <c r="AT33" i="5" s="1"/>
  <c r="AT34" i="5" a="1"/>
  <c r="AT34" i="5" s="1"/>
  <c r="AT35" i="5" a="1"/>
  <c r="AT35" i="5"/>
  <c r="AT36" i="5" a="1"/>
  <c r="AT36" i="5" s="1"/>
  <c r="AT37" i="5" a="1"/>
  <c r="AT37" i="5" s="1"/>
  <c r="AT38" i="5" a="1"/>
  <c r="AT38" i="5" s="1"/>
  <c r="AT39" i="5" a="1"/>
  <c r="AT39" i="5" s="1"/>
  <c r="AT40" i="5" a="1"/>
  <c r="AT40" i="5" s="1"/>
  <c r="AT41" i="5" a="1"/>
  <c r="AT41" i="5" s="1"/>
  <c r="AT42" i="5" a="1"/>
  <c r="AT42" i="5" s="1"/>
  <c r="AT43" i="5" a="1"/>
  <c r="AT43" i="5"/>
  <c r="AT44" i="5" a="1"/>
  <c r="AT44" i="5" s="1"/>
  <c r="AT45" i="5" a="1"/>
  <c r="AT45" i="5" s="1"/>
  <c r="AT46" i="5" a="1"/>
  <c r="AT46" i="5" s="1"/>
  <c r="AT47" i="5" a="1"/>
  <c r="AT47" i="5" s="1"/>
  <c r="AT48" i="5" a="1"/>
  <c r="AT48" i="5" s="1"/>
  <c r="AT49" i="5" a="1"/>
  <c r="AT49" i="5" s="1"/>
  <c r="AT50" i="5" a="1"/>
  <c r="AT50" i="5" s="1"/>
  <c r="AT51" i="5" a="1"/>
  <c r="AT51" i="5" s="1"/>
  <c r="AT52" i="5" a="1"/>
  <c r="AT52" i="5" s="1"/>
  <c r="AT53" i="5" a="1"/>
  <c r="AT53" i="5" s="1"/>
  <c r="AT54" i="5" a="1"/>
  <c r="AT54" i="5" s="1"/>
  <c r="AT55" i="5" a="1"/>
  <c r="AT55" i="5" s="1"/>
  <c r="AT56" i="5" a="1"/>
  <c r="AT56" i="5" s="1"/>
  <c r="AT57" i="5" a="1"/>
  <c r="AT57" i="5" s="1"/>
  <c r="AT58" i="5" a="1"/>
  <c r="AT58" i="5" s="1"/>
  <c r="AT59" i="5" a="1"/>
  <c r="AT59" i="5" s="1"/>
  <c r="AT60" i="5" a="1"/>
  <c r="AT60" i="5" s="1"/>
  <c r="AT61" i="5" a="1"/>
  <c r="AT61" i="5" s="1"/>
  <c r="AT62" i="5" a="1"/>
  <c r="AT62" i="5" s="1"/>
  <c r="AT63" i="5" a="1"/>
  <c r="AT63" i="5" s="1"/>
  <c r="AT64" i="5" a="1"/>
  <c r="AT64" i="5" s="1"/>
  <c r="AT65" i="5" a="1"/>
  <c r="AT65" i="5" s="1"/>
  <c r="AT66" i="5" a="1"/>
  <c r="AT66" i="5" s="1"/>
  <c r="AT67" i="5" a="1"/>
  <c r="AT67" i="5" s="1"/>
  <c r="AT68" i="5" a="1"/>
  <c r="AT68" i="5" s="1"/>
  <c r="AT69" i="5" a="1"/>
  <c r="AT69" i="5" s="1"/>
  <c r="AT70" i="5" a="1"/>
  <c r="AT70" i="5" s="1"/>
  <c r="AT71" i="5" a="1"/>
  <c r="AT71" i="5" s="1"/>
  <c r="AT72" i="5" a="1"/>
  <c r="AT72" i="5" s="1"/>
  <c r="AT73" i="5" a="1"/>
  <c r="AT73" i="5" s="1"/>
  <c r="AT74" i="5" a="1"/>
  <c r="AT74" i="5" s="1"/>
  <c r="AT75" i="5" a="1"/>
  <c r="AT75" i="5" s="1"/>
  <c r="AT76" i="5" a="1"/>
  <c r="AT76" i="5" s="1"/>
  <c r="AT77" i="5" a="1"/>
  <c r="AT77" i="5" s="1"/>
  <c r="AT78" i="5" a="1"/>
  <c r="AT78" i="5" s="1"/>
  <c r="AT79" i="5" a="1"/>
  <c r="AT79" i="5" s="1"/>
  <c r="AT80" i="5" a="1"/>
  <c r="AT80" i="5" s="1"/>
  <c r="AT81" i="5" a="1"/>
  <c r="AT81" i="5"/>
  <c r="AT82" i="5" a="1"/>
  <c r="AT82" i="5" s="1"/>
  <c r="AT83" i="5" a="1"/>
  <c r="AT83" i="5" s="1"/>
  <c r="AT84" i="5" a="1"/>
  <c r="AT84" i="5" s="1"/>
  <c r="AT85" i="5" a="1"/>
  <c r="AT85" i="5" s="1"/>
  <c r="AT86" i="5" a="1"/>
  <c r="AT86" i="5" s="1"/>
  <c r="AT87" i="5" a="1"/>
  <c r="AT87" i="5" s="1"/>
  <c r="AT88" i="5" a="1"/>
  <c r="AT88" i="5" s="1"/>
  <c r="AT89" i="5" a="1"/>
  <c r="AT89" i="5" s="1"/>
  <c r="AT90" i="5" a="1"/>
  <c r="AT90" i="5" s="1"/>
  <c r="AT91" i="5" a="1"/>
  <c r="AT91" i="5" s="1"/>
  <c r="AT92" i="5" a="1"/>
  <c r="AT92" i="5" s="1"/>
  <c r="AT93" i="5" a="1"/>
  <c r="AT93" i="5" s="1"/>
  <c r="AT94" i="5" a="1"/>
  <c r="AT94" i="5" s="1"/>
  <c r="AT95" i="5" a="1"/>
  <c r="AT95" i="5" s="1"/>
  <c r="AT96" i="5" a="1"/>
  <c r="AT96" i="5" s="1"/>
  <c r="AT97" i="5" a="1"/>
  <c r="AT97" i="5" s="1"/>
  <c r="AT98" i="5" a="1"/>
  <c r="AT98" i="5" s="1"/>
  <c r="AT99" i="5" a="1"/>
  <c r="AT99" i="5" s="1"/>
  <c r="AT100" i="5" a="1"/>
  <c r="AT100" i="5" s="1"/>
  <c r="AT101" i="5" a="1"/>
  <c r="AT101" i="5" s="1"/>
  <c r="AT102" i="5" a="1"/>
  <c r="AT102" i="5" s="1"/>
  <c r="AT103" i="5" a="1"/>
  <c r="AT103" i="5" s="1"/>
  <c r="AT104" i="5" a="1"/>
  <c r="AT104" i="5" s="1"/>
  <c r="AT105" i="5" a="1"/>
  <c r="AT105" i="5" s="1"/>
  <c r="AT106" i="5" a="1"/>
  <c r="AT106" i="5" s="1"/>
  <c r="AT107" i="5" a="1"/>
  <c r="AT107" i="5" s="1"/>
  <c r="AT108" i="5" a="1"/>
  <c r="AT108" i="5" s="1"/>
  <c r="AT109" i="5" a="1"/>
  <c r="AT109" i="5" s="1"/>
  <c r="AT110" i="5" a="1"/>
  <c r="AT110" i="5" s="1"/>
  <c r="AT111" i="5" a="1"/>
  <c r="AT111" i="5" s="1"/>
  <c r="AT112" i="5" a="1"/>
  <c r="AT112" i="5" s="1"/>
  <c r="AT113" i="5" a="1"/>
  <c r="AT113" i="5" s="1"/>
  <c r="AT114" i="5" a="1"/>
  <c r="AT114" i="5" s="1"/>
  <c r="AT115" i="5" a="1"/>
  <c r="AT115" i="5" s="1"/>
  <c r="AT116" i="5" a="1"/>
  <c r="AT116" i="5" s="1"/>
  <c r="AT117" i="5" a="1"/>
  <c r="AT117" i="5" s="1"/>
  <c r="AT118" i="5" a="1"/>
  <c r="AT118" i="5" s="1"/>
  <c r="AT119" i="5" a="1"/>
  <c r="AT119" i="5" s="1"/>
  <c r="AT120" i="5" a="1"/>
  <c r="AT120" i="5" s="1"/>
  <c r="AT121" i="5" a="1"/>
  <c r="AT121" i="5"/>
  <c r="AT122" i="5" a="1"/>
  <c r="AT122" i="5" s="1"/>
  <c r="AT123" i="5" a="1"/>
  <c r="AT123" i="5" s="1"/>
  <c r="AT124" i="5" a="1"/>
  <c r="AT124" i="5" s="1"/>
  <c r="AT125" i="5" a="1"/>
  <c r="AT125" i="5" s="1"/>
  <c r="AT126" i="5" a="1"/>
  <c r="AT126" i="5" s="1"/>
  <c r="AT127" i="5" a="1"/>
  <c r="AT127" i="5" s="1"/>
  <c r="AT128" i="5" a="1"/>
  <c r="AT128" i="5" s="1"/>
  <c r="AT129" i="5" a="1"/>
  <c r="AT129" i="5" s="1"/>
  <c r="AT130" i="5" a="1"/>
  <c r="AT130" i="5" s="1"/>
  <c r="AT131" i="5" a="1"/>
  <c r="AT131" i="5" s="1"/>
  <c r="AT132" i="5" a="1"/>
  <c r="AT132" i="5" s="1"/>
  <c r="AT133" i="5" a="1"/>
  <c r="AT133" i="5" s="1"/>
  <c r="AT134" i="5" a="1"/>
  <c r="AT134" i="5" s="1"/>
  <c r="AT135" i="5" a="1"/>
  <c r="AT135" i="5" s="1"/>
  <c r="AT136" i="5" a="1"/>
  <c r="AT136" i="5" s="1"/>
  <c r="AT137" i="5" a="1"/>
  <c r="AT137" i="5" s="1"/>
  <c r="AT138" i="5" a="1"/>
  <c r="AT138" i="5" s="1"/>
  <c r="AT139" i="5" a="1"/>
  <c r="AT139" i="5" s="1"/>
  <c r="AT140" i="5" a="1"/>
  <c r="AT140" i="5" s="1"/>
  <c r="AT141" i="5" a="1"/>
  <c r="AT141" i="5" s="1"/>
  <c r="AT142" i="5" a="1"/>
  <c r="AT142" i="5" s="1"/>
  <c r="AT143" i="5" a="1"/>
  <c r="AT143" i="5"/>
  <c r="AT144" i="5" a="1"/>
  <c r="AT144" i="5" s="1"/>
  <c r="AT145" i="5" a="1"/>
  <c r="AT145" i="5" s="1"/>
  <c r="AT5" i="5" a="1"/>
  <c r="AT5" i="5" s="1"/>
  <c r="AS5" i="5" a="1"/>
  <c r="AS5" i="5" s="1"/>
  <c r="AS6" i="5" a="1"/>
  <c r="AS6" i="5" s="1"/>
  <c r="AS7" i="5" a="1"/>
  <c r="AS7" i="5" s="1"/>
  <c r="AS8" i="5" a="1"/>
  <c r="AS8" i="5" s="1"/>
  <c r="AS9" i="5" a="1"/>
  <c r="AS9" i="5" s="1"/>
  <c r="AS10" i="5" a="1"/>
  <c r="AS10" i="5" s="1"/>
  <c r="AS11" i="5" a="1"/>
  <c r="AS11" i="5" s="1"/>
  <c r="AS12" i="5" a="1"/>
  <c r="AS12" i="5" s="1"/>
  <c r="AS13" i="5" a="1"/>
  <c r="AS13" i="5" s="1"/>
  <c r="AS14" i="5" a="1"/>
  <c r="AS14" i="5" s="1"/>
  <c r="AS15" i="5" a="1"/>
  <c r="AS15" i="5" s="1"/>
  <c r="AS16" i="5" a="1"/>
  <c r="AS16" i="5" s="1"/>
  <c r="AS17" i="5" a="1"/>
  <c r="AS17" i="5" s="1"/>
  <c r="AS18" i="5" a="1"/>
  <c r="AS18" i="5" s="1"/>
  <c r="AS19" i="5" a="1"/>
  <c r="AS19" i="5" s="1"/>
  <c r="AS20" i="5" a="1"/>
  <c r="AS20" i="5" s="1"/>
  <c r="AS21" i="5" a="1"/>
  <c r="AS21" i="5" s="1"/>
  <c r="AS22" i="5" a="1"/>
  <c r="AS22" i="5" s="1"/>
  <c r="AS23" i="5" a="1"/>
  <c r="AS23" i="5" s="1"/>
  <c r="AS24" i="5" a="1"/>
  <c r="AS24" i="5" s="1"/>
  <c r="AS25" i="5" a="1"/>
  <c r="AS25" i="5" s="1"/>
  <c r="AS26" i="5" a="1"/>
  <c r="AS26" i="5" s="1"/>
  <c r="AS27" i="5" a="1"/>
  <c r="AS27" i="5" s="1"/>
  <c r="AS28" i="5" a="1"/>
  <c r="AS28" i="5" s="1"/>
  <c r="AS29" i="5" a="1"/>
  <c r="AS29" i="5" s="1"/>
  <c r="AS30" i="5" a="1"/>
  <c r="AS30" i="5" s="1"/>
  <c r="AS31" i="5" a="1"/>
  <c r="AS31" i="5" s="1"/>
  <c r="AS32" i="5" a="1"/>
  <c r="AS32" i="5" s="1"/>
  <c r="AS33" i="5" a="1"/>
  <c r="AS33" i="5" s="1"/>
  <c r="AS34" i="5" a="1"/>
  <c r="AS34" i="5" s="1"/>
  <c r="AS35" i="5" a="1"/>
  <c r="AS35" i="5" s="1"/>
  <c r="AS36" i="5" a="1"/>
  <c r="AS36" i="5" s="1"/>
  <c r="AS37" i="5" a="1"/>
  <c r="AS37" i="5" s="1"/>
  <c r="AS38" i="5" a="1"/>
  <c r="AS38" i="5" s="1"/>
  <c r="AS39" i="5" a="1"/>
  <c r="AS39" i="5" s="1"/>
  <c r="AS40" i="5" a="1"/>
  <c r="AS40" i="5" s="1"/>
  <c r="AS41" i="5" a="1"/>
  <c r="AS41" i="5" s="1"/>
  <c r="AS42" i="5" a="1"/>
  <c r="AS42" i="5" s="1"/>
  <c r="AS43" i="5" a="1"/>
  <c r="AS43" i="5" s="1"/>
  <c r="AS44" i="5" a="1"/>
  <c r="AS44" i="5" s="1"/>
  <c r="AS45" i="5" a="1"/>
  <c r="AS45" i="5" s="1"/>
  <c r="AS46" i="5" a="1"/>
  <c r="AS46" i="5" s="1"/>
  <c r="AS47" i="5" a="1"/>
  <c r="AS47" i="5" s="1"/>
  <c r="AS48" i="5" a="1"/>
  <c r="AS48" i="5" s="1"/>
  <c r="AS49" i="5" a="1"/>
  <c r="AS49" i="5" s="1"/>
  <c r="AS50" i="5" a="1"/>
  <c r="AS50" i="5" s="1"/>
  <c r="AS51" i="5" a="1"/>
  <c r="AS51" i="5" s="1"/>
  <c r="AS52" i="5" a="1"/>
  <c r="AS52" i="5" s="1"/>
  <c r="AS53" i="5" a="1"/>
  <c r="AS53" i="5" s="1"/>
  <c r="AS54" i="5" a="1"/>
  <c r="AS54" i="5" s="1"/>
  <c r="AS55" i="5" a="1"/>
  <c r="AS55" i="5" s="1"/>
  <c r="AS56" i="5" a="1"/>
  <c r="AS56" i="5" s="1"/>
  <c r="AS57" i="5" a="1"/>
  <c r="AS57" i="5" s="1"/>
  <c r="AS58" i="5" a="1"/>
  <c r="AS58" i="5" s="1"/>
  <c r="AS59" i="5" a="1"/>
  <c r="AS59" i="5" s="1"/>
  <c r="AS60" i="5" a="1"/>
  <c r="AS60" i="5" s="1"/>
  <c r="AS61" i="5" a="1"/>
  <c r="AS61" i="5" s="1"/>
  <c r="AS62" i="5" a="1"/>
  <c r="AS62" i="5" s="1"/>
  <c r="AS63" i="5" a="1"/>
  <c r="AS63" i="5" s="1"/>
  <c r="AS64" i="5" a="1"/>
  <c r="AS64" i="5" s="1"/>
  <c r="AS65" i="5" a="1"/>
  <c r="AS65" i="5" s="1"/>
  <c r="AS66" i="5" a="1"/>
  <c r="AS66" i="5" s="1"/>
  <c r="AS67" i="5" a="1"/>
  <c r="AS67" i="5" s="1"/>
  <c r="AS68" i="5" a="1"/>
  <c r="AS68" i="5" s="1"/>
  <c r="AS69" i="5" a="1"/>
  <c r="AS69" i="5" s="1"/>
  <c r="AS70" i="5" a="1"/>
  <c r="AS70" i="5" s="1"/>
  <c r="AS71" i="5" a="1"/>
  <c r="AS71" i="5" s="1"/>
  <c r="AS72" i="5" a="1"/>
  <c r="AS72" i="5" s="1"/>
  <c r="AS73" i="5" a="1"/>
  <c r="AS73" i="5" s="1"/>
  <c r="AS74" i="5" a="1"/>
  <c r="AS74" i="5" s="1"/>
  <c r="AS75" i="5" a="1"/>
  <c r="AS75" i="5" s="1"/>
  <c r="AS76" i="5" a="1"/>
  <c r="AS76" i="5" s="1"/>
  <c r="AS77" i="5" a="1"/>
  <c r="AS77" i="5" s="1"/>
  <c r="AS78" i="5" a="1"/>
  <c r="AS78" i="5" s="1"/>
  <c r="AS79" i="5" a="1"/>
  <c r="AS79" i="5" s="1"/>
  <c r="AS80" i="5" a="1"/>
  <c r="AS80" i="5" s="1"/>
  <c r="AS81" i="5" a="1"/>
  <c r="AS81" i="5" s="1"/>
  <c r="AS82" i="5" a="1"/>
  <c r="AS82" i="5" s="1"/>
  <c r="AS83" i="5" a="1"/>
  <c r="AS83" i="5" s="1"/>
  <c r="AS84" i="5" a="1"/>
  <c r="AS84" i="5" s="1"/>
  <c r="AS85" i="5" a="1"/>
  <c r="AS85" i="5" s="1"/>
  <c r="AS86" i="5" a="1"/>
  <c r="AS86" i="5" s="1"/>
  <c r="AS87" i="5" a="1"/>
  <c r="AS87" i="5" s="1"/>
  <c r="AS88" i="5" a="1"/>
  <c r="AS88" i="5" s="1"/>
  <c r="AS89" i="5" a="1"/>
  <c r="AS89" i="5" s="1"/>
  <c r="AS90" i="5" a="1"/>
  <c r="AS90" i="5" s="1"/>
  <c r="AS91" i="5" a="1"/>
  <c r="AS91" i="5" s="1"/>
  <c r="AS92" i="5" a="1"/>
  <c r="AS92" i="5" s="1"/>
  <c r="AS93" i="5" a="1"/>
  <c r="AS93" i="5" s="1"/>
  <c r="AS94" i="5" a="1"/>
  <c r="AS94" i="5" s="1"/>
  <c r="AS95" i="5" a="1"/>
  <c r="AS95" i="5" s="1"/>
  <c r="AS96" i="5" a="1"/>
  <c r="AS96" i="5" s="1"/>
  <c r="AS97" i="5" a="1"/>
  <c r="AS97" i="5" s="1"/>
  <c r="AS98" i="5" a="1"/>
  <c r="AS98" i="5" s="1"/>
  <c r="AS99" i="5" a="1"/>
  <c r="AS99" i="5" s="1"/>
  <c r="AS100" i="5" a="1"/>
  <c r="AS100" i="5" s="1"/>
  <c r="AS101" i="5" a="1"/>
  <c r="AS101" i="5" s="1"/>
  <c r="AS102" i="5" a="1"/>
  <c r="AS102" i="5" s="1"/>
  <c r="AS103" i="5" a="1"/>
  <c r="AS103" i="5" s="1"/>
  <c r="AS104" i="5" a="1"/>
  <c r="AS104" i="5" s="1"/>
  <c r="AS105" i="5" a="1"/>
  <c r="AS105" i="5" s="1"/>
  <c r="AS106" i="5" a="1"/>
  <c r="AS106" i="5" s="1"/>
  <c r="AS107" i="5" a="1"/>
  <c r="AS107" i="5" s="1"/>
  <c r="AS108" i="5" a="1"/>
  <c r="AS108" i="5" s="1"/>
  <c r="AS109" i="5" a="1"/>
  <c r="AS109" i="5" s="1"/>
  <c r="AS110" i="5" a="1"/>
  <c r="AS110" i="5" s="1"/>
  <c r="AS111" i="5" a="1"/>
  <c r="AS111" i="5" s="1"/>
  <c r="AS112" i="5" a="1"/>
  <c r="AS112" i="5" s="1"/>
  <c r="AS113" i="5" a="1"/>
  <c r="AS113" i="5" s="1"/>
  <c r="AS114" i="5" a="1"/>
  <c r="AS114" i="5" s="1"/>
  <c r="AS115" i="5" a="1"/>
  <c r="AS115" i="5" s="1"/>
  <c r="AS116" i="5" a="1"/>
  <c r="AS116" i="5" s="1"/>
  <c r="AS117" i="5" a="1"/>
  <c r="AS117" i="5" s="1"/>
  <c r="AS118" i="5" a="1"/>
  <c r="AS118" i="5" s="1"/>
  <c r="AS119" i="5" a="1"/>
  <c r="AS119" i="5" s="1"/>
  <c r="AS120" i="5" a="1"/>
  <c r="AS120" i="5" s="1"/>
  <c r="AS121" i="5" a="1"/>
  <c r="AS121" i="5" s="1"/>
  <c r="AS122" i="5" a="1"/>
  <c r="AS122" i="5" s="1"/>
  <c r="AS123" i="5" a="1"/>
  <c r="AS123" i="5" s="1"/>
  <c r="AS124" i="5" a="1"/>
  <c r="AS124" i="5" s="1"/>
  <c r="AS125" i="5" a="1"/>
  <c r="AS125" i="5" s="1"/>
  <c r="AS126" i="5" a="1"/>
  <c r="AS126" i="5" s="1"/>
  <c r="AS127" i="5" a="1"/>
  <c r="AS127" i="5" s="1"/>
  <c r="AS128" i="5" a="1"/>
  <c r="AS128" i="5" s="1"/>
  <c r="AS129" i="5" a="1"/>
  <c r="AS129" i="5" s="1"/>
  <c r="AS130" i="5" a="1"/>
  <c r="AS130" i="5" s="1"/>
  <c r="AS131" i="5" a="1"/>
  <c r="AS131" i="5" s="1"/>
  <c r="AS132" i="5" a="1"/>
  <c r="AS132" i="5" s="1"/>
  <c r="AS133" i="5" a="1"/>
  <c r="AS133" i="5"/>
  <c r="AS134" i="5" a="1"/>
  <c r="AS134" i="5" s="1"/>
  <c r="AS135" i="5" a="1"/>
  <c r="AS135" i="5" s="1"/>
  <c r="AS136" i="5" a="1"/>
  <c r="AS136" i="5" s="1"/>
  <c r="AS137" i="5" a="1"/>
  <c r="AS137" i="5"/>
  <c r="AS138" i="5" a="1"/>
  <c r="AS138" i="5" s="1"/>
  <c r="AS139" i="5" a="1"/>
  <c r="AS139" i="5" s="1"/>
  <c r="AS140" i="5" a="1"/>
  <c r="AS140" i="5" s="1"/>
  <c r="AS141" i="5" a="1"/>
  <c r="AS141" i="5" s="1"/>
  <c r="AS142" i="5" a="1"/>
  <c r="AS142" i="5" s="1"/>
  <c r="AS143" i="5" a="1"/>
  <c r="AS143" i="5" s="1"/>
  <c r="AS144" i="5" a="1"/>
  <c r="AS144" i="5" s="1"/>
  <c r="AS145" i="5" a="1"/>
  <c r="AS145" i="5" s="1"/>
  <c r="AR6" i="5" a="1"/>
  <c r="AR6" i="5" s="1"/>
  <c r="AR7" i="5" a="1"/>
  <c r="AR7" i="5" s="1"/>
  <c r="AR8" i="5" a="1"/>
  <c r="AR8" i="5" s="1"/>
  <c r="AR9" i="5" a="1"/>
  <c r="AR9" i="5" s="1"/>
  <c r="AR10" i="5" a="1"/>
  <c r="AR10" i="5" s="1"/>
  <c r="AR11" i="5" a="1"/>
  <c r="AR11" i="5" s="1"/>
  <c r="AR12" i="5" a="1"/>
  <c r="AR12" i="5" s="1"/>
  <c r="AR13" i="5" a="1"/>
  <c r="AR13" i="5" s="1"/>
  <c r="AR14" i="5" a="1"/>
  <c r="AR14" i="5" s="1"/>
  <c r="AR15" i="5" a="1"/>
  <c r="AR15" i="5" s="1"/>
  <c r="AR16" i="5" a="1"/>
  <c r="AR16" i="5" s="1"/>
  <c r="AR17" i="5" a="1"/>
  <c r="AR17" i="5" s="1"/>
  <c r="AR18" i="5" a="1"/>
  <c r="AR18" i="5" s="1"/>
  <c r="AR19" i="5" a="1"/>
  <c r="AR19" i="5" s="1"/>
  <c r="AR21" i="5" a="1"/>
  <c r="AR21" i="5" s="1"/>
  <c r="AR22" i="5" a="1"/>
  <c r="AR22" i="5" s="1"/>
  <c r="AR23" i="5" a="1"/>
  <c r="AR23" i="5" s="1"/>
  <c r="AR24" i="5" a="1"/>
  <c r="AR24" i="5" s="1"/>
  <c r="AR25" i="5" a="1"/>
  <c r="AR25" i="5" s="1"/>
  <c r="AR26" i="5" a="1"/>
  <c r="AR26" i="5" s="1"/>
  <c r="AR27" i="5" a="1"/>
  <c r="AR27" i="5" s="1"/>
  <c r="AR28" i="5" a="1"/>
  <c r="AR28" i="5" s="1"/>
  <c r="AR29" i="5" a="1"/>
  <c r="AR29" i="5" s="1"/>
  <c r="AR30" i="5" a="1"/>
  <c r="AR30" i="5" s="1"/>
  <c r="AR32" i="5" a="1"/>
  <c r="AR32" i="5" s="1"/>
  <c r="AR33" i="5" a="1"/>
  <c r="AR33" i="5" s="1"/>
  <c r="AR34" i="5" a="1"/>
  <c r="AR34" i="5" s="1"/>
  <c r="AR35" i="5" a="1"/>
  <c r="AR35" i="5" s="1"/>
  <c r="AR36" i="5" a="1"/>
  <c r="AR36" i="5" s="1"/>
  <c r="AR37" i="5" a="1"/>
  <c r="AR37" i="5"/>
  <c r="AR38" i="5" a="1"/>
  <c r="AR38" i="5" s="1"/>
  <c r="AR39" i="5" a="1"/>
  <c r="AR39" i="5" s="1"/>
  <c r="AR40" i="5" a="1"/>
  <c r="AR40" i="5" s="1"/>
  <c r="AR41" i="5" a="1"/>
  <c r="AR41" i="5" s="1"/>
  <c r="AR42" i="5" a="1"/>
  <c r="AR42" i="5" s="1"/>
  <c r="AR43" i="5" a="1"/>
  <c r="AR43" i="5" s="1"/>
  <c r="AR44" i="5" a="1"/>
  <c r="AR44" i="5" s="1"/>
  <c r="AR45" i="5" a="1"/>
  <c r="AR45" i="5" s="1"/>
  <c r="AR46" i="5" a="1"/>
  <c r="AR46" i="5" s="1"/>
  <c r="AR47" i="5" a="1"/>
  <c r="AR47" i="5" s="1"/>
  <c r="AR48" i="5" a="1"/>
  <c r="AR48" i="5" s="1"/>
  <c r="AR49" i="5" a="1"/>
  <c r="AR49" i="5" s="1"/>
  <c r="AR50" i="5" a="1"/>
  <c r="AR50" i="5" s="1"/>
  <c r="AR51" i="5" a="1"/>
  <c r="AR51" i="5" s="1"/>
  <c r="AR52" i="5" a="1"/>
  <c r="AR52" i="5" s="1"/>
  <c r="AR53" i="5" a="1"/>
  <c r="AR53" i="5" s="1"/>
  <c r="AR54" i="5" a="1"/>
  <c r="AR54" i="5" s="1"/>
  <c r="AR55" i="5" a="1"/>
  <c r="AR55" i="5" s="1"/>
  <c r="AR56" i="5" a="1"/>
  <c r="AR56" i="5" s="1"/>
  <c r="AR57" i="5" a="1"/>
  <c r="AR57" i="5" s="1"/>
  <c r="AR58" i="5" a="1"/>
  <c r="AR58" i="5" s="1"/>
  <c r="AR59" i="5" a="1"/>
  <c r="AR59" i="5" s="1"/>
  <c r="AR60" i="5" a="1"/>
  <c r="AR60" i="5" s="1"/>
  <c r="AR61" i="5" a="1"/>
  <c r="AR61" i="5" s="1"/>
  <c r="AR62" i="5" a="1"/>
  <c r="AR62" i="5" s="1"/>
  <c r="AR63" i="5" a="1"/>
  <c r="AR63" i="5" s="1"/>
  <c r="AR64" i="5" a="1"/>
  <c r="AR64" i="5" s="1"/>
  <c r="AR65" i="5" a="1"/>
  <c r="AR65" i="5" s="1"/>
  <c r="AR66" i="5" a="1"/>
  <c r="AR66" i="5" s="1"/>
  <c r="AR67" i="5" a="1"/>
  <c r="AR67" i="5" s="1"/>
  <c r="AR68" i="5" a="1"/>
  <c r="AR68" i="5" s="1"/>
  <c r="AR69" i="5" a="1"/>
  <c r="AR69" i="5" s="1"/>
  <c r="AR70" i="5" a="1"/>
  <c r="AR70" i="5" s="1"/>
  <c r="AR71" i="5" a="1"/>
  <c r="AR71" i="5" s="1"/>
  <c r="AR72" i="5" a="1"/>
  <c r="AR72" i="5" s="1"/>
  <c r="AR73" i="5" a="1"/>
  <c r="AR73" i="5" s="1"/>
  <c r="AR74" i="5" a="1"/>
  <c r="AR74" i="5" s="1"/>
  <c r="AR75" i="5" a="1"/>
  <c r="AR75" i="5" s="1"/>
  <c r="AR76" i="5" a="1"/>
  <c r="AR76" i="5" s="1"/>
  <c r="AR77" i="5" a="1"/>
  <c r="AR77" i="5" s="1"/>
  <c r="AR78" i="5" a="1"/>
  <c r="AR78" i="5" s="1"/>
  <c r="AR79" i="5" a="1"/>
  <c r="AR79" i="5" s="1"/>
  <c r="AR80" i="5" a="1"/>
  <c r="AR80" i="5" s="1"/>
  <c r="AR81" i="5" a="1"/>
  <c r="AR81" i="5" s="1"/>
  <c r="AR82" i="5" a="1"/>
  <c r="AR82" i="5" s="1"/>
  <c r="AR83" i="5" a="1"/>
  <c r="AR83" i="5" s="1"/>
  <c r="AR84" i="5" a="1"/>
  <c r="AR84" i="5" s="1"/>
  <c r="AR85" i="5" a="1"/>
  <c r="AR85" i="5" s="1"/>
  <c r="AR86" i="5" a="1"/>
  <c r="AR86" i="5" s="1"/>
  <c r="AR87" i="5" a="1"/>
  <c r="AR87" i="5" s="1"/>
  <c r="AR88" i="5" a="1"/>
  <c r="AR88" i="5" s="1"/>
  <c r="AR89" i="5" a="1"/>
  <c r="AR89" i="5" s="1"/>
  <c r="AR90" i="5" a="1"/>
  <c r="AR90" i="5" s="1"/>
  <c r="AR91" i="5" a="1"/>
  <c r="AR91" i="5" s="1"/>
  <c r="AR92" i="5" a="1"/>
  <c r="AR92" i="5" s="1"/>
  <c r="AR93" i="5" a="1"/>
  <c r="AR93" i="5" s="1"/>
  <c r="AR94" i="5" a="1"/>
  <c r="AR94" i="5" s="1"/>
  <c r="AR95" i="5" a="1"/>
  <c r="AR95" i="5" s="1"/>
  <c r="AR96" i="5" a="1"/>
  <c r="AR96" i="5" s="1"/>
  <c r="AR97" i="5" a="1"/>
  <c r="AR97" i="5" s="1"/>
  <c r="AR98" i="5" a="1"/>
  <c r="AR98" i="5" s="1"/>
  <c r="AR99" i="5" a="1"/>
  <c r="AR99" i="5" s="1"/>
  <c r="AR100" i="5" a="1"/>
  <c r="AR100" i="5" s="1"/>
  <c r="AR101" i="5" a="1"/>
  <c r="AR101" i="5" s="1"/>
  <c r="AR102" i="5" a="1"/>
  <c r="AR102" i="5" s="1"/>
  <c r="AR103" i="5" a="1"/>
  <c r="AR103" i="5" s="1"/>
  <c r="AR104" i="5" a="1"/>
  <c r="AR104" i="5" s="1"/>
  <c r="AR105" i="5" a="1"/>
  <c r="AR105" i="5" s="1"/>
  <c r="AR106" i="5" a="1"/>
  <c r="AR106" i="5" s="1"/>
  <c r="AR107" i="5" a="1"/>
  <c r="AR107" i="5" s="1"/>
  <c r="AR108" i="5" a="1"/>
  <c r="AR108" i="5" s="1"/>
  <c r="AR109" i="5" a="1"/>
  <c r="AR109" i="5" s="1"/>
  <c r="AR110" i="5" a="1"/>
  <c r="AR110" i="5" s="1"/>
  <c r="AR111" i="5" a="1"/>
  <c r="AR111" i="5" s="1"/>
  <c r="AR112" i="5" a="1"/>
  <c r="AR112" i="5" s="1"/>
  <c r="AR113" i="5" a="1"/>
  <c r="AR113" i="5" s="1"/>
  <c r="AR114" i="5" a="1"/>
  <c r="AR114" i="5" s="1"/>
  <c r="AR115" i="5" a="1"/>
  <c r="AR115" i="5" s="1"/>
  <c r="AR116" i="5" a="1"/>
  <c r="AR116" i="5" s="1"/>
  <c r="AR117" i="5" a="1"/>
  <c r="AR117" i="5" s="1"/>
  <c r="AR118" i="5" a="1"/>
  <c r="AR118" i="5" s="1"/>
  <c r="AR119" i="5" a="1"/>
  <c r="AR119" i="5" s="1"/>
  <c r="AR120" i="5" a="1"/>
  <c r="AR120" i="5" s="1"/>
  <c r="AR121" i="5" a="1"/>
  <c r="AR121" i="5" s="1"/>
  <c r="AR122" i="5" a="1"/>
  <c r="AR122" i="5" s="1"/>
  <c r="AR123" i="5" a="1"/>
  <c r="AR123" i="5" s="1"/>
  <c r="AR124" i="5" a="1"/>
  <c r="AR124" i="5" s="1"/>
  <c r="AR125" i="5" a="1"/>
  <c r="AR125" i="5" s="1"/>
  <c r="AR126" i="5" a="1"/>
  <c r="AR126" i="5" s="1"/>
  <c r="AR127" i="5" a="1"/>
  <c r="AR127" i="5" s="1"/>
  <c r="AR128" i="5" a="1"/>
  <c r="AR128" i="5" s="1"/>
  <c r="AR129" i="5" a="1"/>
  <c r="AR129" i="5" s="1"/>
  <c r="AR130" i="5" a="1"/>
  <c r="AR130" i="5" s="1"/>
  <c r="AR131" i="5" a="1"/>
  <c r="AR131" i="5" s="1"/>
  <c r="AR132" i="5" a="1"/>
  <c r="AR132" i="5" s="1"/>
  <c r="AR133" i="5" a="1"/>
  <c r="AR133" i="5" s="1"/>
  <c r="AR134" i="5" a="1"/>
  <c r="AR134" i="5" s="1"/>
  <c r="AR135" i="5" a="1"/>
  <c r="AR135" i="5" s="1"/>
  <c r="AR136" i="5" a="1"/>
  <c r="AR136" i="5" s="1"/>
  <c r="AR137" i="5" a="1"/>
  <c r="AR137" i="5" s="1"/>
  <c r="AR138" i="5" a="1"/>
  <c r="AR138" i="5" s="1"/>
  <c r="AR139" i="5" a="1"/>
  <c r="AR139" i="5" s="1"/>
  <c r="AR140" i="5" a="1"/>
  <c r="AR140" i="5" s="1"/>
  <c r="AR141" i="5" a="1"/>
  <c r="AR141" i="5"/>
  <c r="AR142" i="5" a="1"/>
  <c r="AR142" i="5" s="1"/>
  <c r="AR143" i="5" a="1"/>
  <c r="AR143" i="5" s="1"/>
  <c r="AR144" i="5" a="1"/>
  <c r="AR144" i="5" s="1"/>
  <c r="AR145" i="5" a="1"/>
  <c r="AR145" i="5" s="1"/>
  <c r="AQ8" i="5" a="1"/>
  <c r="AQ8" i="5" s="1"/>
  <c r="AQ10" i="5" a="1"/>
  <c r="AQ10" i="5" s="1"/>
  <c r="AQ12" i="5" a="1"/>
  <c r="AQ12" i="5" s="1"/>
  <c r="AQ13" i="5" a="1"/>
  <c r="AQ13" i="5" s="1"/>
  <c r="AQ14" i="5" a="1"/>
  <c r="AQ14" i="5" s="1"/>
  <c r="AQ15" i="5" a="1"/>
  <c r="AQ15" i="5" s="1"/>
  <c r="AQ17" i="5" a="1"/>
  <c r="AQ17" i="5" s="1"/>
  <c r="AQ18" i="5" a="1"/>
  <c r="AQ18" i="5" s="1"/>
  <c r="AQ19" i="5" a="1"/>
  <c r="AQ19" i="5" s="1"/>
  <c r="AQ20" i="5" a="1"/>
  <c r="AQ20" i="5" s="1"/>
  <c r="AQ21" i="5" a="1"/>
  <c r="AQ21" i="5" s="1"/>
  <c r="AQ22" i="5" a="1"/>
  <c r="AQ22" i="5" s="1"/>
  <c r="AQ23" i="5" a="1"/>
  <c r="AQ23" i="5" s="1"/>
  <c r="AQ24" i="5" a="1"/>
  <c r="AQ24" i="5" s="1"/>
  <c r="AQ25" i="5" a="1"/>
  <c r="AQ25" i="5" s="1"/>
  <c r="AQ26" i="5" a="1"/>
  <c r="AQ26" i="5" s="1"/>
  <c r="AQ27" i="5" a="1"/>
  <c r="AQ27" i="5" s="1"/>
  <c r="AQ28" i="5" a="1"/>
  <c r="AQ28" i="5" s="1"/>
  <c r="AQ29" i="5" a="1"/>
  <c r="AQ29" i="5" s="1"/>
  <c r="AQ30" i="5" a="1"/>
  <c r="AQ30" i="5" s="1"/>
  <c r="AQ31" i="5" a="1"/>
  <c r="AQ31" i="5" s="1"/>
  <c r="AQ32" i="5" a="1"/>
  <c r="AQ32" i="5" s="1"/>
  <c r="AQ33" i="5" a="1"/>
  <c r="AQ33" i="5" s="1"/>
  <c r="AQ34" i="5" a="1"/>
  <c r="AQ34" i="5" s="1"/>
  <c r="AQ35" i="5" a="1"/>
  <c r="AQ35" i="5" s="1"/>
  <c r="AQ36" i="5" a="1"/>
  <c r="AQ36" i="5" s="1"/>
  <c r="AQ37" i="5" a="1"/>
  <c r="AQ37" i="5" s="1"/>
  <c r="AQ38" i="5" a="1"/>
  <c r="AQ38" i="5" s="1"/>
  <c r="AQ39" i="5" a="1"/>
  <c r="AQ39" i="5" s="1"/>
  <c r="AQ40" i="5" a="1"/>
  <c r="AQ40" i="5" s="1"/>
  <c r="AQ41" i="5" a="1"/>
  <c r="AQ41" i="5" s="1"/>
  <c r="AQ42" i="5" a="1"/>
  <c r="AQ42" i="5" s="1"/>
  <c r="AQ43" i="5" a="1"/>
  <c r="AQ43" i="5" s="1"/>
  <c r="AQ44" i="5" a="1"/>
  <c r="AQ44" i="5" s="1"/>
  <c r="AQ45" i="5" a="1"/>
  <c r="AQ45" i="5" s="1"/>
  <c r="AQ46" i="5" a="1"/>
  <c r="AQ46" i="5" s="1"/>
  <c r="AQ47" i="5" a="1"/>
  <c r="AQ47" i="5" s="1"/>
  <c r="AQ48" i="5" a="1"/>
  <c r="AQ48" i="5" s="1"/>
  <c r="AQ49" i="5" a="1"/>
  <c r="AQ49" i="5" s="1"/>
  <c r="AQ50" i="5" a="1"/>
  <c r="AQ50" i="5" s="1"/>
  <c r="AQ51" i="5" a="1"/>
  <c r="AQ51" i="5" s="1"/>
  <c r="AQ52" i="5" a="1"/>
  <c r="AQ52" i="5" s="1"/>
  <c r="AQ53" i="5" a="1"/>
  <c r="AQ53" i="5" s="1"/>
  <c r="AQ54" i="5" a="1"/>
  <c r="AQ54" i="5" s="1"/>
  <c r="AQ55" i="5" a="1"/>
  <c r="AQ55" i="5" s="1"/>
  <c r="AQ56" i="5" a="1"/>
  <c r="AQ56" i="5" s="1"/>
  <c r="AQ57" i="5" a="1"/>
  <c r="AQ57" i="5" s="1"/>
  <c r="AQ58" i="5" a="1"/>
  <c r="AQ58" i="5" s="1"/>
  <c r="AQ59" i="5" a="1"/>
  <c r="AQ59" i="5" s="1"/>
  <c r="AQ60" i="5" a="1"/>
  <c r="AQ60" i="5" s="1"/>
  <c r="AQ61" i="5" a="1"/>
  <c r="AQ61" i="5" s="1"/>
  <c r="AQ62" i="5" a="1"/>
  <c r="AQ62" i="5" s="1"/>
  <c r="AQ63" i="5" a="1"/>
  <c r="AQ63" i="5" s="1"/>
  <c r="AQ64" i="5" a="1"/>
  <c r="AQ64" i="5" s="1"/>
  <c r="AQ65" i="5" a="1"/>
  <c r="AQ65" i="5" s="1"/>
  <c r="AQ66" i="5" a="1"/>
  <c r="AQ66" i="5" s="1"/>
  <c r="AQ67" i="5" a="1"/>
  <c r="AQ67" i="5" s="1"/>
  <c r="AQ68" i="5" a="1"/>
  <c r="AQ68" i="5" s="1"/>
  <c r="AQ69" i="5" a="1"/>
  <c r="AQ69" i="5"/>
  <c r="AQ70" i="5" a="1"/>
  <c r="AQ70" i="5" s="1"/>
  <c r="AQ71" i="5" a="1"/>
  <c r="AQ71" i="5" s="1"/>
  <c r="AQ72" i="5" a="1"/>
  <c r="AQ72" i="5" s="1"/>
  <c r="AQ73" i="5" a="1"/>
  <c r="AQ73" i="5" s="1"/>
  <c r="AQ74" i="5" a="1"/>
  <c r="AQ74" i="5" s="1"/>
  <c r="AQ75" i="5" a="1"/>
  <c r="AQ75" i="5" s="1"/>
  <c r="AQ76" i="5" a="1"/>
  <c r="AQ76" i="5" s="1"/>
  <c r="AQ77" i="5" a="1"/>
  <c r="AQ77" i="5" s="1"/>
  <c r="AQ78" i="5" a="1"/>
  <c r="AQ78" i="5" s="1"/>
  <c r="AQ79" i="5" a="1"/>
  <c r="AQ79" i="5" s="1"/>
  <c r="AQ80" i="5" a="1"/>
  <c r="AQ80" i="5" s="1"/>
  <c r="AQ81" i="5" a="1"/>
  <c r="AQ81" i="5" s="1"/>
  <c r="AQ82" i="5" a="1"/>
  <c r="AQ82" i="5" s="1"/>
  <c r="AQ83" i="5" a="1"/>
  <c r="AQ83" i="5" s="1"/>
  <c r="AQ84" i="5" a="1"/>
  <c r="AQ84" i="5" s="1"/>
  <c r="AQ85" i="5" a="1"/>
  <c r="AQ85" i="5" s="1"/>
  <c r="AQ86" i="5" a="1"/>
  <c r="AQ86" i="5" s="1"/>
  <c r="AQ87" i="5" a="1"/>
  <c r="AQ87" i="5" s="1"/>
  <c r="AQ88" i="5" a="1"/>
  <c r="AQ88" i="5" s="1"/>
  <c r="AQ89" i="5" a="1"/>
  <c r="AQ89" i="5" s="1"/>
  <c r="AQ90" i="5" a="1"/>
  <c r="AQ90" i="5" s="1"/>
  <c r="AQ91" i="5" a="1"/>
  <c r="AQ91" i="5" s="1"/>
  <c r="AQ92" i="5" a="1"/>
  <c r="AQ92" i="5" s="1"/>
  <c r="AQ93" i="5" a="1"/>
  <c r="AQ93" i="5" s="1"/>
  <c r="AQ94" i="5" a="1"/>
  <c r="AQ94" i="5" s="1"/>
  <c r="AQ95" i="5" a="1"/>
  <c r="AQ95" i="5" s="1"/>
  <c r="AQ96" i="5" a="1"/>
  <c r="AQ96" i="5" s="1"/>
  <c r="AQ97" i="5" a="1"/>
  <c r="AQ97" i="5" s="1"/>
  <c r="AQ98" i="5" a="1"/>
  <c r="AQ98" i="5" s="1"/>
  <c r="AQ99" i="5" a="1"/>
  <c r="AQ99" i="5" s="1"/>
  <c r="AQ100" i="5" a="1"/>
  <c r="AQ100" i="5" s="1"/>
  <c r="AQ101" i="5" a="1"/>
  <c r="AQ101" i="5" s="1"/>
  <c r="AQ102" i="5" a="1"/>
  <c r="AQ102" i="5" s="1"/>
  <c r="AQ103" i="5" a="1"/>
  <c r="AQ103" i="5" s="1"/>
  <c r="AQ104" i="5" a="1"/>
  <c r="AQ104" i="5" s="1"/>
  <c r="AQ105" i="5" a="1"/>
  <c r="AQ105" i="5" s="1"/>
  <c r="AQ106" i="5" a="1"/>
  <c r="AQ106" i="5" s="1"/>
  <c r="AQ107" i="5" a="1"/>
  <c r="AQ107" i="5" s="1"/>
  <c r="AQ108" i="5" a="1"/>
  <c r="AQ108" i="5" s="1"/>
  <c r="AQ109" i="5" a="1"/>
  <c r="AQ109" i="5" s="1"/>
  <c r="AQ110" i="5" a="1"/>
  <c r="AQ110" i="5" s="1"/>
  <c r="AQ111" i="5" a="1"/>
  <c r="AQ111" i="5" s="1"/>
  <c r="AQ112" i="5" a="1"/>
  <c r="AQ112" i="5" s="1"/>
  <c r="AQ113" i="5" a="1"/>
  <c r="AQ113" i="5" s="1"/>
  <c r="AQ114" i="5" a="1"/>
  <c r="AQ114" i="5" s="1"/>
  <c r="AQ115" i="5" a="1"/>
  <c r="AQ115" i="5" s="1"/>
  <c r="AQ116" i="5" a="1"/>
  <c r="AQ116" i="5" s="1"/>
  <c r="AQ117" i="5" a="1"/>
  <c r="AQ117" i="5" s="1"/>
  <c r="AQ118" i="5" a="1"/>
  <c r="AQ118" i="5" s="1"/>
  <c r="AQ119" i="5" a="1"/>
  <c r="AQ119" i="5" s="1"/>
  <c r="AQ120" i="5" a="1"/>
  <c r="AQ120" i="5" s="1"/>
  <c r="AQ121" i="5" a="1"/>
  <c r="AQ121" i="5" s="1"/>
  <c r="AQ122" i="5" a="1"/>
  <c r="AQ122" i="5" s="1"/>
  <c r="AQ123" i="5" a="1"/>
  <c r="AQ123" i="5" s="1"/>
  <c r="AQ124" i="5" a="1"/>
  <c r="AQ124" i="5" s="1"/>
  <c r="AQ125" i="5" a="1"/>
  <c r="AQ125" i="5" s="1"/>
  <c r="AQ126" i="5" a="1"/>
  <c r="AQ126" i="5" s="1"/>
  <c r="AQ127" i="5" a="1"/>
  <c r="AQ127" i="5" s="1"/>
  <c r="AQ128" i="5" a="1"/>
  <c r="AQ128" i="5" s="1"/>
  <c r="AQ129" i="5" a="1"/>
  <c r="AQ129" i="5" s="1"/>
  <c r="AQ130" i="5" a="1"/>
  <c r="AQ130" i="5" s="1"/>
  <c r="AQ131" i="5" a="1"/>
  <c r="AQ131" i="5" s="1"/>
  <c r="AQ132" i="5" a="1"/>
  <c r="AQ132" i="5" s="1"/>
  <c r="AQ133" i="5" a="1"/>
  <c r="AQ133" i="5"/>
  <c r="AQ134" i="5" a="1"/>
  <c r="AQ134" i="5" s="1"/>
  <c r="AQ135" i="5" a="1"/>
  <c r="AQ135" i="5" s="1"/>
  <c r="AQ136" i="5" a="1"/>
  <c r="AQ136" i="5" s="1"/>
  <c r="AQ137" i="5" a="1"/>
  <c r="AQ137" i="5" s="1"/>
  <c r="AQ138" i="5" a="1"/>
  <c r="AQ138" i="5" s="1"/>
  <c r="AQ139" i="5" a="1"/>
  <c r="AQ139" i="5"/>
  <c r="AQ140" i="5" a="1"/>
  <c r="AQ140" i="5" s="1"/>
  <c r="AQ141" i="5" a="1"/>
  <c r="AQ141" i="5" s="1"/>
  <c r="AQ142" i="5" a="1"/>
  <c r="AQ142" i="5" s="1"/>
  <c r="AQ143" i="5" a="1"/>
  <c r="AQ143" i="5" s="1"/>
  <c r="AQ144" i="5" a="1"/>
  <c r="AQ144" i="5" s="1"/>
  <c r="AQ145" i="5" a="1"/>
  <c r="AQ145" i="5" s="1"/>
  <c r="AA147" i="18"/>
  <c r="AB147" i="18"/>
  <c r="AC147" i="18"/>
  <c r="AD147" i="18"/>
  <c r="AE147" i="18"/>
  <c r="AF147" i="18"/>
  <c r="AG147" i="18"/>
  <c r="AH147" i="18"/>
  <c r="AI147" i="18"/>
  <c r="AA148" i="18"/>
  <c r="AB148" i="18"/>
  <c r="AC148" i="18"/>
  <c r="AD148" i="18"/>
  <c r="AE148" i="18"/>
  <c r="AF148" i="18"/>
  <c r="AG148" i="18"/>
  <c r="AH148" i="18"/>
  <c r="AI148" i="18"/>
  <c r="AH67" i="5" l="1"/>
  <c r="AH143" i="5"/>
  <c r="AH131" i="5"/>
  <c r="AH122" i="5"/>
  <c r="AH128" i="5"/>
  <c r="AH53" i="5"/>
  <c r="AH130" i="5"/>
  <c r="AH98" i="5"/>
  <c r="AH144" i="5"/>
  <c r="AH34" i="5"/>
  <c r="AH99" i="5"/>
  <c r="AH56" i="5"/>
  <c r="AH30" i="5"/>
  <c r="AH22" i="5"/>
  <c r="AH27" i="5"/>
  <c r="AH28" i="5"/>
  <c r="AH96" i="5"/>
  <c r="AH124" i="5"/>
  <c r="AH117" i="5"/>
  <c r="AH102" i="5"/>
  <c r="AH126" i="5"/>
  <c r="AH110" i="5"/>
  <c r="AH14" i="5"/>
  <c r="AH59" i="5"/>
  <c r="AH115" i="5"/>
  <c r="AH109" i="5"/>
  <c r="AH114" i="5"/>
  <c r="AH106" i="5"/>
  <c r="AH145" i="5"/>
  <c r="AH111" i="5"/>
  <c r="AH87" i="5"/>
  <c r="AH107" i="5"/>
  <c r="AH61" i="5"/>
  <c r="AZ30" i="15"/>
  <c r="AB150" i="18"/>
  <c r="AC150" i="18"/>
  <c r="AD150" i="18"/>
  <c r="AE150" i="18"/>
  <c r="AF150" i="18"/>
  <c r="AG150" i="18"/>
  <c r="AH150" i="18"/>
  <c r="AI150" i="18"/>
  <c r="AA150" i="18"/>
  <c r="AA149" i="18"/>
  <c r="AB149" i="18"/>
  <c r="AC149" i="18"/>
  <c r="AD149" i="18"/>
  <c r="AE149" i="18"/>
  <c r="AF149" i="18"/>
  <c r="AG149" i="18"/>
  <c r="AH149" i="18"/>
  <c r="AI149" i="18"/>
  <c r="AD133" i="5"/>
  <c r="AE133" i="5"/>
  <c r="AF133" i="5"/>
  <c r="AG133" i="5"/>
  <c r="AU133" i="5"/>
  <c r="AV133" i="5"/>
  <c r="AW133" i="5"/>
  <c r="AX133" i="5"/>
  <c r="AD127" i="5"/>
  <c r="AE127" i="5"/>
  <c r="AG127" i="5"/>
  <c r="AU127" i="5"/>
  <c r="AV127" i="5"/>
  <c r="AF127" i="5" s="1"/>
  <c r="AW127" i="5"/>
  <c r="AX127" i="5"/>
  <c r="AD108" i="5"/>
  <c r="AE108" i="5"/>
  <c r="AG108" i="5"/>
  <c r="AU108" i="5"/>
  <c r="AV108" i="5"/>
  <c r="AW108" i="5"/>
  <c r="AX108" i="5"/>
  <c r="AF108" i="5" s="1"/>
  <c r="AD103" i="5"/>
  <c r="AE103" i="5"/>
  <c r="AG103" i="5"/>
  <c r="AU103" i="5"/>
  <c r="AV103" i="5"/>
  <c r="AF103" i="5" s="1"/>
  <c r="AW103" i="5"/>
  <c r="AX103" i="5"/>
  <c r="AD95" i="5"/>
  <c r="AE95" i="5"/>
  <c r="AG95" i="5"/>
  <c r="AU95" i="5"/>
  <c r="AV95" i="5"/>
  <c r="AW95" i="5"/>
  <c r="AX95" i="5"/>
  <c r="AF95" i="5" s="1"/>
  <c r="AD93" i="5"/>
  <c r="AE93" i="5"/>
  <c r="AF93" i="5"/>
  <c r="AG93" i="5"/>
  <c r="AU93" i="5"/>
  <c r="AV93" i="5"/>
  <c r="AW93" i="5"/>
  <c r="AX93" i="5"/>
  <c r="AD86" i="5"/>
  <c r="AE86" i="5"/>
  <c r="AG86" i="5"/>
  <c r="AU86" i="5"/>
  <c r="AV86" i="5"/>
  <c r="AF86" i="5" s="1"/>
  <c r="AW86" i="5"/>
  <c r="AX86" i="5"/>
  <c r="AD75" i="5"/>
  <c r="AE75" i="5"/>
  <c r="AF75" i="5"/>
  <c r="AG75" i="5"/>
  <c r="AU75" i="5"/>
  <c r="AV75" i="5"/>
  <c r="AW75" i="5"/>
  <c r="AX75" i="5"/>
  <c r="AD68" i="5"/>
  <c r="AE68" i="5"/>
  <c r="AF68" i="5"/>
  <c r="AG68" i="5"/>
  <c r="AU68" i="5"/>
  <c r="AV68" i="5"/>
  <c r="AW68" i="5"/>
  <c r="AX68" i="5"/>
  <c r="AD66" i="5"/>
  <c r="AE66" i="5"/>
  <c r="AF66" i="5"/>
  <c r="AG66" i="5"/>
  <c r="AU66" i="5"/>
  <c r="AV66" i="5"/>
  <c r="AW66" i="5"/>
  <c r="AX66" i="5"/>
  <c r="AD47" i="5"/>
  <c r="AE47" i="5"/>
  <c r="AF47" i="5"/>
  <c r="AG47" i="5"/>
  <c r="AU47" i="5"/>
  <c r="AV47" i="5"/>
  <c r="AW47" i="5"/>
  <c r="AX47" i="5"/>
  <c r="AD62" i="5"/>
  <c r="AE62" i="5"/>
  <c r="AF62" i="5"/>
  <c r="AG62" i="5"/>
  <c r="AU62" i="5"/>
  <c r="AV62" i="5"/>
  <c r="AW62" i="5"/>
  <c r="AX62" i="5"/>
  <c r="AU32" i="5" l="1"/>
  <c r="AV32" i="5"/>
  <c r="AW32" i="5"/>
  <c r="AX32" i="5"/>
  <c r="AD32" i="5"/>
  <c r="AE32" i="5"/>
  <c r="AF32" i="5"/>
  <c r="AG32" i="5"/>
  <c r="AD33" i="5"/>
  <c r="AE33" i="5"/>
  <c r="AF33" i="5"/>
  <c r="AG33" i="5"/>
  <c r="AG7" i="5" l="1"/>
  <c r="AG8" i="5"/>
  <c r="AG9" i="5"/>
  <c r="AG10" i="5"/>
  <c r="AG15" i="5"/>
  <c r="AG16" i="5"/>
  <c r="AG18" i="5"/>
  <c r="AG20" i="5"/>
  <c r="AG26" i="5"/>
  <c r="AG28" i="5"/>
  <c r="AG30" i="5"/>
  <c r="AG31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3" i="5"/>
  <c r="AG64" i="5"/>
  <c r="AG65" i="5"/>
  <c r="AG67" i="5"/>
  <c r="AG69" i="5"/>
  <c r="AG70" i="5"/>
  <c r="AG71" i="5"/>
  <c r="AG72" i="5"/>
  <c r="AG73" i="5"/>
  <c r="AG74" i="5"/>
  <c r="AG76" i="5"/>
  <c r="AG77" i="5"/>
  <c r="AG78" i="5"/>
  <c r="AG79" i="5"/>
  <c r="AG80" i="5"/>
  <c r="AG81" i="5"/>
  <c r="AG82" i="5"/>
  <c r="AG83" i="5"/>
  <c r="AG84" i="5"/>
  <c r="AG85" i="5"/>
  <c r="AG87" i="5"/>
  <c r="AG88" i="5"/>
  <c r="AG89" i="5"/>
  <c r="AG90" i="5"/>
  <c r="AG91" i="5"/>
  <c r="AG92" i="5"/>
  <c r="AG94" i="5"/>
  <c r="AG98" i="5"/>
  <c r="AG99" i="5"/>
  <c r="AG100" i="5"/>
  <c r="AG106" i="5"/>
  <c r="AG116" i="5"/>
  <c r="AG117" i="5"/>
  <c r="AG118" i="5"/>
  <c r="AG119" i="5"/>
  <c r="AG120" i="5"/>
  <c r="AG121" i="5"/>
  <c r="AG122" i="5"/>
  <c r="AG123" i="5"/>
  <c r="AG124" i="5"/>
  <c r="AG125" i="5"/>
  <c r="AG126" i="5"/>
  <c r="AG128" i="5"/>
  <c r="AG129" i="5"/>
  <c r="AG130" i="5"/>
  <c r="AG131" i="5"/>
  <c r="AG143" i="5"/>
  <c r="AG144" i="5"/>
  <c r="AG145" i="5"/>
  <c r="AG6" i="5"/>
  <c r="AY30" i="15" l="1"/>
  <c r="C6" i="15"/>
  <c r="C7" i="15"/>
  <c r="C8" i="15"/>
  <c r="C5" i="15"/>
  <c r="C9" i="15"/>
  <c r="AF134" i="5" l="1"/>
  <c r="AF142" i="5"/>
  <c r="AF138" i="5"/>
  <c r="AF64" i="5"/>
  <c r="AF29" i="5"/>
  <c r="AF88" i="5"/>
  <c r="AF123" i="5"/>
  <c r="AF44" i="5"/>
  <c r="AF43" i="5"/>
  <c r="AF61" i="5"/>
  <c r="AF36" i="5"/>
  <c r="AF35" i="5"/>
  <c r="AF34" i="5"/>
  <c r="AF50" i="5"/>
  <c r="AF87" i="5"/>
  <c r="AF25" i="5"/>
  <c r="AF58" i="5"/>
  <c r="AF89" i="5"/>
  <c r="AF70" i="5"/>
  <c r="AF101" i="5"/>
  <c r="AF69" i="5"/>
  <c r="AF74" i="5"/>
  <c r="AF73" i="5"/>
  <c r="AF132" i="5"/>
  <c r="AF13" i="5"/>
  <c r="AF63" i="5"/>
  <c r="AF72" i="5"/>
  <c r="AF71" i="5"/>
  <c r="AF46" i="5"/>
  <c r="AF45" i="5"/>
  <c r="AF42" i="5"/>
  <c r="AF92" i="5"/>
  <c r="AF48" i="5"/>
  <c r="AF24" i="5"/>
  <c r="AF23" i="5"/>
  <c r="AF139" i="5"/>
  <c r="AF91" i="5"/>
  <c r="AF116" i="5"/>
  <c r="AF119" i="5"/>
  <c r="AF125" i="5"/>
  <c r="AF59" i="5"/>
  <c r="AF41" i="5"/>
  <c r="AF141" i="5"/>
  <c r="AF40" i="5"/>
  <c r="AF137" i="5"/>
  <c r="AF39" i="5"/>
  <c r="AF38" i="5"/>
  <c r="AF135" i="5"/>
  <c r="AF37" i="5"/>
  <c r="AF113" i="5"/>
  <c r="AF57" i="5"/>
  <c r="AF27" i="5"/>
  <c r="AF26" i="5"/>
  <c r="AF55" i="5"/>
  <c r="AF54" i="5"/>
  <c r="AF52" i="5"/>
  <c r="AF16" i="5"/>
  <c r="AF8" i="5"/>
  <c r="AF60" i="5"/>
  <c r="AF51" i="5"/>
  <c r="AF53" i="5"/>
  <c r="AF56" i="5"/>
  <c r="AF30" i="5"/>
  <c r="AF31" i="5"/>
  <c r="AF28" i="5"/>
  <c r="AF22" i="5"/>
  <c r="AF96" i="5"/>
  <c r="AF105" i="5"/>
  <c r="AF104" i="5"/>
  <c r="AF140" i="5"/>
  <c r="AF67" i="5"/>
  <c r="AF65" i="5"/>
  <c r="AF76" i="5"/>
  <c r="AF128" i="5"/>
  <c r="AF77" i="5"/>
  <c r="AW6" i="5"/>
  <c r="AX6" i="5"/>
  <c r="AW7" i="5"/>
  <c r="AX7" i="5"/>
  <c r="AW8" i="5"/>
  <c r="AX8" i="5"/>
  <c r="AW9" i="5"/>
  <c r="AX9" i="5"/>
  <c r="AW10" i="5"/>
  <c r="AX10" i="5"/>
  <c r="AW11" i="5"/>
  <c r="AX11" i="5"/>
  <c r="AW12" i="5"/>
  <c r="AX12" i="5"/>
  <c r="AW13" i="5"/>
  <c r="AX13" i="5"/>
  <c r="AW14" i="5"/>
  <c r="AX14" i="5"/>
  <c r="AW15" i="5"/>
  <c r="AX15" i="5"/>
  <c r="AW16" i="5"/>
  <c r="AX16" i="5"/>
  <c r="AW17" i="5"/>
  <c r="AX17" i="5"/>
  <c r="AW18" i="5"/>
  <c r="AX18" i="5"/>
  <c r="AW19" i="5"/>
  <c r="AX19" i="5"/>
  <c r="AW20" i="5"/>
  <c r="AX20" i="5"/>
  <c r="AW21" i="5"/>
  <c r="AX21" i="5"/>
  <c r="AW22" i="5"/>
  <c r="AX22" i="5"/>
  <c r="AW23" i="5"/>
  <c r="AX23" i="5"/>
  <c r="AW24" i="5"/>
  <c r="AX24" i="5"/>
  <c r="AW25" i="5"/>
  <c r="AX25" i="5"/>
  <c r="AW26" i="5"/>
  <c r="AX26" i="5"/>
  <c r="AW27" i="5"/>
  <c r="AX27" i="5"/>
  <c r="AW28" i="5"/>
  <c r="AX28" i="5"/>
  <c r="AW29" i="5"/>
  <c r="AX29" i="5"/>
  <c r="AW30" i="5"/>
  <c r="AX30" i="5"/>
  <c r="AW31" i="5"/>
  <c r="AX31" i="5"/>
  <c r="AW33" i="5"/>
  <c r="AX33" i="5"/>
  <c r="AW34" i="5"/>
  <c r="AX34" i="5"/>
  <c r="AW35" i="5"/>
  <c r="AX35" i="5"/>
  <c r="AW36" i="5"/>
  <c r="AX36" i="5"/>
  <c r="AW37" i="5"/>
  <c r="AX37" i="5"/>
  <c r="AW38" i="5"/>
  <c r="AX38" i="5"/>
  <c r="AW39" i="5"/>
  <c r="AX39" i="5"/>
  <c r="AW40" i="5"/>
  <c r="AX40" i="5"/>
  <c r="AW41" i="5"/>
  <c r="AX41" i="5"/>
  <c r="AW42" i="5"/>
  <c r="AX42" i="5"/>
  <c r="AW43" i="5"/>
  <c r="AX43" i="5"/>
  <c r="AW44" i="5"/>
  <c r="AX44" i="5"/>
  <c r="AW45" i="5"/>
  <c r="AX45" i="5"/>
  <c r="AW46" i="5"/>
  <c r="AX46" i="5"/>
  <c r="AW48" i="5"/>
  <c r="AX48" i="5"/>
  <c r="AW49" i="5"/>
  <c r="AX49" i="5"/>
  <c r="AW50" i="5"/>
  <c r="AX50" i="5"/>
  <c r="AW51" i="5"/>
  <c r="AX51" i="5"/>
  <c r="AW52" i="5"/>
  <c r="AX52" i="5"/>
  <c r="AW53" i="5"/>
  <c r="AX53" i="5"/>
  <c r="AW54" i="5"/>
  <c r="AX54" i="5"/>
  <c r="AW55" i="5"/>
  <c r="AX55" i="5"/>
  <c r="AW56" i="5"/>
  <c r="AX56" i="5"/>
  <c r="AW57" i="5"/>
  <c r="AX57" i="5"/>
  <c r="AW58" i="5"/>
  <c r="AX58" i="5"/>
  <c r="AW59" i="5"/>
  <c r="AX59" i="5"/>
  <c r="AW60" i="5"/>
  <c r="AX60" i="5"/>
  <c r="AW61" i="5"/>
  <c r="AX61" i="5"/>
  <c r="AW63" i="5"/>
  <c r="AX63" i="5"/>
  <c r="AW64" i="5"/>
  <c r="AX64" i="5"/>
  <c r="AW65" i="5"/>
  <c r="AX65" i="5"/>
  <c r="AW67" i="5"/>
  <c r="AX67" i="5"/>
  <c r="AW69" i="5"/>
  <c r="AX69" i="5"/>
  <c r="AW70" i="5"/>
  <c r="AX70" i="5"/>
  <c r="AW71" i="5"/>
  <c r="AX71" i="5"/>
  <c r="AW72" i="5"/>
  <c r="AX72" i="5"/>
  <c r="AW73" i="5"/>
  <c r="AX73" i="5"/>
  <c r="AW74" i="5"/>
  <c r="AX74" i="5"/>
  <c r="AW76" i="5"/>
  <c r="AX76" i="5"/>
  <c r="AW77" i="5"/>
  <c r="AX77" i="5"/>
  <c r="AW78" i="5"/>
  <c r="AX78" i="5"/>
  <c r="AW79" i="5"/>
  <c r="AX79" i="5"/>
  <c r="AW80" i="5"/>
  <c r="AX80" i="5"/>
  <c r="AW81" i="5"/>
  <c r="AX81" i="5"/>
  <c r="AW82" i="5"/>
  <c r="AX82" i="5"/>
  <c r="AW83" i="5"/>
  <c r="AX83" i="5"/>
  <c r="AW84" i="5"/>
  <c r="AX84" i="5"/>
  <c r="AW85" i="5"/>
  <c r="AX85" i="5"/>
  <c r="AW87" i="5"/>
  <c r="AX87" i="5"/>
  <c r="AW88" i="5"/>
  <c r="AX88" i="5"/>
  <c r="AW89" i="5"/>
  <c r="AX89" i="5"/>
  <c r="AW90" i="5"/>
  <c r="AX90" i="5"/>
  <c r="AW91" i="5"/>
  <c r="AX91" i="5"/>
  <c r="AW92" i="5"/>
  <c r="AX92" i="5"/>
  <c r="AW94" i="5"/>
  <c r="AX94" i="5"/>
  <c r="AW96" i="5"/>
  <c r="AX96" i="5"/>
  <c r="AW97" i="5"/>
  <c r="AX97" i="5"/>
  <c r="AW98" i="5"/>
  <c r="AX98" i="5"/>
  <c r="AW99" i="5"/>
  <c r="AX99" i="5"/>
  <c r="AW100" i="5"/>
  <c r="AX100" i="5"/>
  <c r="AW101" i="5"/>
  <c r="AX101" i="5"/>
  <c r="AW102" i="5"/>
  <c r="AX102" i="5"/>
  <c r="AW104" i="5"/>
  <c r="AX104" i="5"/>
  <c r="AW105" i="5"/>
  <c r="AX105" i="5"/>
  <c r="AW106" i="5"/>
  <c r="AX106" i="5"/>
  <c r="AW107" i="5"/>
  <c r="AX107" i="5"/>
  <c r="AW109" i="5"/>
  <c r="AX109" i="5"/>
  <c r="AW110" i="5"/>
  <c r="AX110" i="5"/>
  <c r="AW111" i="5"/>
  <c r="AX111" i="5"/>
  <c r="AW112" i="5"/>
  <c r="AX112" i="5"/>
  <c r="AW113" i="5"/>
  <c r="AX113" i="5"/>
  <c r="AW114" i="5"/>
  <c r="AX114" i="5"/>
  <c r="AW115" i="5"/>
  <c r="AX115" i="5"/>
  <c r="AW116" i="5"/>
  <c r="AX116" i="5"/>
  <c r="AW117" i="5"/>
  <c r="AX117" i="5"/>
  <c r="AW118" i="5"/>
  <c r="AX118" i="5"/>
  <c r="AW119" i="5"/>
  <c r="AX119" i="5"/>
  <c r="AW120" i="5"/>
  <c r="AX120" i="5"/>
  <c r="AW121" i="5"/>
  <c r="AX121" i="5"/>
  <c r="AW122" i="5"/>
  <c r="AX122" i="5"/>
  <c r="AW123" i="5"/>
  <c r="AX123" i="5"/>
  <c r="AW124" i="5"/>
  <c r="AX124" i="5"/>
  <c r="AW125" i="5"/>
  <c r="AX125" i="5"/>
  <c r="AW126" i="5"/>
  <c r="AX126" i="5"/>
  <c r="AW128" i="5"/>
  <c r="AX128" i="5"/>
  <c r="AW129" i="5"/>
  <c r="AX129" i="5"/>
  <c r="AW130" i="5"/>
  <c r="AX130" i="5"/>
  <c r="AW131" i="5"/>
  <c r="AX131" i="5"/>
  <c r="AW132" i="5"/>
  <c r="AX132" i="5"/>
  <c r="AW134" i="5"/>
  <c r="AX134" i="5"/>
  <c r="AW135" i="5"/>
  <c r="AX135" i="5"/>
  <c r="AW136" i="5"/>
  <c r="AX136" i="5"/>
  <c r="AW137" i="5"/>
  <c r="AX137" i="5"/>
  <c r="AW138" i="5"/>
  <c r="AX138" i="5"/>
  <c r="AW139" i="5"/>
  <c r="AX139" i="5"/>
  <c r="AW140" i="5"/>
  <c r="AX140" i="5"/>
  <c r="AW141" i="5"/>
  <c r="AX141" i="5"/>
  <c r="AW142" i="5"/>
  <c r="AX142" i="5"/>
  <c r="AW143" i="5"/>
  <c r="AX143" i="5"/>
  <c r="AW144" i="5"/>
  <c r="AX144" i="5"/>
  <c r="AW145" i="5"/>
  <c r="AX145" i="5"/>
  <c r="AF5" i="5"/>
  <c r="AU6" i="5"/>
  <c r="AV6" i="5"/>
  <c r="AV7" i="5"/>
  <c r="AU8" i="5"/>
  <c r="AV8" i="5"/>
  <c r="AU9" i="5"/>
  <c r="AV9" i="5"/>
  <c r="AV10" i="5"/>
  <c r="AU11" i="5"/>
  <c r="AV11" i="5"/>
  <c r="AU12" i="5"/>
  <c r="AV12" i="5"/>
  <c r="AG12" i="5" s="1"/>
  <c r="AU13" i="5"/>
  <c r="AV13" i="5"/>
  <c r="AU14" i="5"/>
  <c r="AV14" i="5"/>
  <c r="AU15" i="5"/>
  <c r="AV15" i="5"/>
  <c r="AU16" i="5"/>
  <c r="AV16" i="5"/>
  <c r="AU17" i="5"/>
  <c r="AV17" i="5"/>
  <c r="AG17" i="5" s="1"/>
  <c r="AU18" i="5"/>
  <c r="AV18" i="5"/>
  <c r="AU19" i="5"/>
  <c r="AV19" i="5"/>
  <c r="AG19" i="5" s="1"/>
  <c r="AU20" i="5"/>
  <c r="AV20" i="5"/>
  <c r="AU21" i="5"/>
  <c r="AV21" i="5"/>
  <c r="AU22" i="5"/>
  <c r="AV22" i="5"/>
  <c r="AU23" i="5"/>
  <c r="AV23" i="5"/>
  <c r="AG23" i="5" s="1"/>
  <c r="AU24" i="5"/>
  <c r="AV24" i="5"/>
  <c r="AG24" i="5" s="1"/>
  <c r="AU25" i="5"/>
  <c r="AV25" i="5"/>
  <c r="AG25" i="5" s="1"/>
  <c r="AU26" i="5"/>
  <c r="AV26" i="5"/>
  <c r="AU27" i="5"/>
  <c r="AV27" i="5"/>
  <c r="AU28" i="5"/>
  <c r="AV28" i="5"/>
  <c r="AU29" i="5"/>
  <c r="AV29" i="5"/>
  <c r="AG29" i="5" s="1"/>
  <c r="AU30" i="5"/>
  <c r="AV30" i="5"/>
  <c r="AU31" i="5"/>
  <c r="AV31" i="5"/>
  <c r="AU33" i="5"/>
  <c r="AV33" i="5"/>
  <c r="AU34" i="5"/>
  <c r="AV34" i="5"/>
  <c r="AU35" i="5"/>
  <c r="AV35" i="5"/>
  <c r="AU36" i="5"/>
  <c r="AV36" i="5"/>
  <c r="AU37" i="5"/>
  <c r="AV37" i="5"/>
  <c r="AU38" i="5"/>
  <c r="AV38" i="5"/>
  <c r="AU39" i="5"/>
  <c r="AV39" i="5"/>
  <c r="AU40" i="5"/>
  <c r="AV40" i="5"/>
  <c r="AU41" i="5"/>
  <c r="AV41" i="5"/>
  <c r="AU42" i="5"/>
  <c r="AV42" i="5"/>
  <c r="AU43" i="5"/>
  <c r="AV43" i="5"/>
  <c r="AU44" i="5"/>
  <c r="AV44" i="5"/>
  <c r="AU45" i="5"/>
  <c r="AV45" i="5"/>
  <c r="AU46" i="5"/>
  <c r="AV46" i="5"/>
  <c r="AU48" i="5"/>
  <c r="AV48" i="5"/>
  <c r="AU49" i="5"/>
  <c r="AV49" i="5"/>
  <c r="AU50" i="5"/>
  <c r="AV50" i="5"/>
  <c r="AU51" i="5"/>
  <c r="AV51" i="5"/>
  <c r="AU52" i="5"/>
  <c r="AV52" i="5"/>
  <c r="AF136" i="5" s="1"/>
  <c r="AU53" i="5"/>
  <c r="AV53" i="5"/>
  <c r="AU54" i="5"/>
  <c r="AV54" i="5"/>
  <c r="AU55" i="5"/>
  <c r="AV55" i="5"/>
  <c r="AU56" i="5"/>
  <c r="AV56" i="5"/>
  <c r="AU57" i="5"/>
  <c r="AV57" i="5"/>
  <c r="AU58" i="5"/>
  <c r="AV58" i="5"/>
  <c r="AU59" i="5"/>
  <c r="AV59" i="5"/>
  <c r="AU60" i="5"/>
  <c r="AV60" i="5"/>
  <c r="AU61" i="5"/>
  <c r="AV61" i="5"/>
  <c r="AU63" i="5"/>
  <c r="AV63" i="5"/>
  <c r="AU64" i="5"/>
  <c r="AV64" i="5"/>
  <c r="AU65" i="5"/>
  <c r="AV65" i="5"/>
  <c r="AU67" i="5"/>
  <c r="AV67" i="5"/>
  <c r="AU69" i="5"/>
  <c r="AV69" i="5"/>
  <c r="AU70" i="5"/>
  <c r="AV70" i="5"/>
  <c r="AU71" i="5"/>
  <c r="AV71" i="5"/>
  <c r="AU72" i="5"/>
  <c r="AV72" i="5"/>
  <c r="AU73" i="5"/>
  <c r="AV73" i="5"/>
  <c r="AU74" i="5"/>
  <c r="AV74" i="5"/>
  <c r="AU76" i="5"/>
  <c r="AV76" i="5"/>
  <c r="AU77" i="5"/>
  <c r="AV77" i="5"/>
  <c r="AU78" i="5"/>
  <c r="AV78" i="5"/>
  <c r="AU79" i="5"/>
  <c r="AV79" i="5"/>
  <c r="AU80" i="5"/>
  <c r="AV80" i="5"/>
  <c r="AU81" i="5"/>
  <c r="AV81" i="5"/>
  <c r="AU82" i="5"/>
  <c r="AV82" i="5"/>
  <c r="AU83" i="5"/>
  <c r="AV83" i="5"/>
  <c r="AU84" i="5"/>
  <c r="AV84" i="5"/>
  <c r="AU85" i="5"/>
  <c r="AV85" i="5"/>
  <c r="AU87" i="5"/>
  <c r="AV87" i="5"/>
  <c r="AU88" i="5"/>
  <c r="AV88" i="5"/>
  <c r="AU89" i="5"/>
  <c r="AV89" i="5"/>
  <c r="AU90" i="5"/>
  <c r="AV90" i="5"/>
  <c r="AU91" i="5"/>
  <c r="AV91" i="5"/>
  <c r="AU92" i="5"/>
  <c r="AV92" i="5"/>
  <c r="AU94" i="5"/>
  <c r="AV94" i="5"/>
  <c r="AU96" i="5"/>
  <c r="AV96" i="5"/>
  <c r="AU97" i="5"/>
  <c r="AV97" i="5"/>
  <c r="AG97" i="5" s="1"/>
  <c r="AU98" i="5"/>
  <c r="AV98" i="5"/>
  <c r="AU99" i="5"/>
  <c r="AV99" i="5"/>
  <c r="AU100" i="5"/>
  <c r="AV100" i="5"/>
  <c r="AU101" i="5"/>
  <c r="AV101" i="5"/>
  <c r="AG101" i="5" s="1"/>
  <c r="AU102" i="5"/>
  <c r="AV102" i="5"/>
  <c r="AU104" i="5"/>
  <c r="AV104" i="5"/>
  <c r="AG104" i="5" s="1"/>
  <c r="AU105" i="5"/>
  <c r="AV105" i="5"/>
  <c r="AU106" i="5"/>
  <c r="AV106" i="5"/>
  <c r="AU107" i="5"/>
  <c r="AV107" i="5"/>
  <c r="AU109" i="5"/>
  <c r="AV109" i="5"/>
  <c r="AU110" i="5"/>
  <c r="AV110" i="5"/>
  <c r="AU111" i="5"/>
  <c r="AV111" i="5"/>
  <c r="AU112" i="5"/>
  <c r="AV112" i="5"/>
  <c r="AG112" i="5" s="1"/>
  <c r="AU113" i="5"/>
  <c r="AV113" i="5"/>
  <c r="AG113" i="5" s="1"/>
  <c r="AU114" i="5"/>
  <c r="AV114" i="5"/>
  <c r="AU115" i="5"/>
  <c r="AV115" i="5"/>
  <c r="AU116" i="5"/>
  <c r="AV116" i="5"/>
  <c r="AU117" i="5"/>
  <c r="AV117" i="5"/>
  <c r="AU118" i="5"/>
  <c r="AV118" i="5"/>
  <c r="AU119" i="5"/>
  <c r="AV119" i="5"/>
  <c r="AU120" i="5"/>
  <c r="AV120" i="5"/>
  <c r="AU121" i="5"/>
  <c r="AV121" i="5"/>
  <c r="AU122" i="5"/>
  <c r="AV122" i="5"/>
  <c r="AU123" i="5"/>
  <c r="AV123" i="5"/>
  <c r="AU124" i="5"/>
  <c r="AV124" i="5"/>
  <c r="AU125" i="5"/>
  <c r="AV125" i="5"/>
  <c r="AU126" i="5"/>
  <c r="AV126" i="5"/>
  <c r="AU128" i="5"/>
  <c r="AV128" i="5"/>
  <c r="AU129" i="5"/>
  <c r="AV129" i="5"/>
  <c r="AU130" i="5"/>
  <c r="AV130" i="5"/>
  <c r="AU131" i="5"/>
  <c r="AV131" i="5"/>
  <c r="AU132" i="5"/>
  <c r="AV132" i="5"/>
  <c r="AU134" i="5"/>
  <c r="AV134" i="5"/>
  <c r="AU135" i="5"/>
  <c r="AV135" i="5"/>
  <c r="AG135" i="5" s="1"/>
  <c r="AU136" i="5"/>
  <c r="AV136" i="5"/>
  <c r="AG136" i="5" s="1"/>
  <c r="AU137" i="5"/>
  <c r="AV137" i="5"/>
  <c r="AG137" i="5" s="1"/>
  <c r="AU138" i="5"/>
  <c r="AV138" i="5"/>
  <c r="AU139" i="5"/>
  <c r="AV139" i="5"/>
  <c r="AG139" i="5" s="1"/>
  <c r="AU140" i="5"/>
  <c r="AV140" i="5"/>
  <c r="AG140" i="5" s="1"/>
  <c r="AU141" i="5"/>
  <c r="AV141" i="5"/>
  <c r="AG141" i="5" s="1"/>
  <c r="AU142" i="5"/>
  <c r="AV142" i="5"/>
  <c r="AU143" i="5"/>
  <c r="AV143" i="5"/>
  <c r="AU144" i="5"/>
  <c r="AV144" i="5"/>
  <c r="AU145" i="5"/>
  <c r="AV145" i="5"/>
  <c r="AF7" i="5" l="1"/>
  <c r="AF49" i="5"/>
  <c r="AF90" i="5"/>
  <c r="AF79" i="5"/>
  <c r="AF21" i="5"/>
  <c r="AF12" i="5"/>
  <c r="AF18" i="5"/>
  <c r="AF121" i="5"/>
  <c r="AF82" i="5"/>
  <c r="AF6" i="5"/>
  <c r="AF84" i="5"/>
  <c r="AF145" i="5"/>
  <c r="AG115" i="5"/>
  <c r="AG111" i="5"/>
  <c r="AG22" i="5"/>
  <c r="AG14" i="5"/>
  <c r="AF117" i="5"/>
  <c r="AF122" i="5"/>
  <c r="AG110" i="5"/>
  <c r="AG107" i="5"/>
  <c r="AF14" i="5"/>
  <c r="AG27" i="5"/>
  <c r="AF10" i="5"/>
  <c r="AG142" i="5"/>
  <c r="AF115" i="5"/>
  <c r="AG138" i="5"/>
  <c r="AF15" i="5"/>
  <c r="AG134" i="5"/>
  <c r="AF100" i="5"/>
  <c r="AG114" i="5"/>
  <c r="AF143" i="5"/>
  <c r="AG105" i="5"/>
  <c r="AF102" i="5"/>
  <c r="AG102" i="5"/>
  <c r="AF17" i="5"/>
  <c r="AG96" i="5"/>
  <c r="AF78" i="5"/>
  <c r="AF106" i="5"/>
  <c r="AG21" i="5"/>
  <c r="AF94" i="5"/>
  <c r="AG11" i="5"/>
  <c r="AF111" i="5"/>
  <c r="AG132" i="5"/>
  <c r="AF109" i="5"/>
  <c r="AG109" i="5"/>
  <c r="AF110" i="5"/>
  <c r="AF9" i="5"/>
  <c r="AF83" i="5"/>
  <c r="AF144" i="5"/>
  <c r="AF120" i="5"/>
  <c r="AF85" i="5"/>
  <c r="AF80" i="5"/>
  <c r="AF99" i="5"/>
  <c r="AF124" i="5"/>
  <c r="AF114" i="5"/>
  <c r="AF107" i="5"/>
  <c r="AF20" i="5"/>
  <c r="AF97" i="5"/>
  <c r="AF131" i="5"/>
  <c r="AF130" i="5"/>
  <c r="AF11" i="5"/>
  <c r="AF126" i="5"/>
  <c r="AF81" i="5"/>
  <c r="AF98" i="5"/>
  <c r="AF112" i="5"/>
  <c r="AF118" i="5"/>
  <c r="AF129" i="5"/>
  <c r="AF19" i="5"/>
  <c r="AF140" i="19"/>
  <c r="AD145" i="19"/>
  <c r="AE145" i="19"/>
  <c r="AC145" i="19"/>
  <c r="AE141" i="19"/>
  <c r="AD141" i="19"/>
  <c r="AC141" i="19"/>
  <c r="AE140" i="19"/>
  <c r="AD140" i="19"/>
  <c r="AC140" i="19"/>
  <c r="AD139" i="19"/>
  <c r="AE139" i="19"/>
  <c r="AC139" i="19"/>
  <c r="AE138" i="19"/>
  <c r="AD138" i="19"/>
  <c r="AC138" i="19"/>
  <c r="AE137" i="19"/>
  <c r="AD137" i="19"/>
  <c r="AC137" i="19"/>
  <c r="AE136" i="19"/>
  <c r="AD136" i="19"/>
  <c r="AC136" i="19"/>
  <c r="AD135" i="19"/>
  <c r="AE135" i="19"/>
  <c r="AC135" i="19"/>
  <c r="AE134" i="19"/>
  <c r="AD134" i="19"/>
  <c r="AC134" i="19"/>
  <c r="AB145" i="19"/>
  <c r="V145" i="19"/>
  <c r="W145" i="19"/>
  <c r="X145" i="19"/>
  <c r="Y145" i="19"/>
  <c r="Z145" i="19"/>
  <c r="AA145" i="19"/>
  <c r="U145" i="19"/>
  <c r="AE144" i="19"/>
  <c r="AD144" i="19"/>
  <c r="AC144" i="19"/>
  <c r="AH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U143" i="19"/>
  <c r="AB142" i="19"/>
  <c r="X142" i="19"/>
  <c r="Y142" i="19"/>
  <c r="Z142" i="19"/>
  <c r="AA142" i="19"/>
  <c r="W142" i="19"/>
  <c r="AB141" i="19"/>
  <c r="X141" i="19"/>
  <c r="Y141" i="19"/>
  <c r="Z141" i="19"/>
  <c r="AA141" i="19"/>
  <c r="W141" i="19"/>
  <c r="AB140" i="19"/>
  <c r="X140" i="19"/>
  <c r="Y140" i="19"/>
  <c r="Z140" i="19"/>
  <c r="AA140" i="19"/>
  <c r="W140" i="19"/>
  <c r="X139" i="19"/>
  <c r="Y139" i="19"/>
  <c r="Z139" i="19"/>
  <c r="AA139" i="19"/>
  <c r="AB139" i="19"/>
  <c r="W139" i="19"/>
  <c r="X138" i="19"/>
  <c r="Y138" i="19"/>
  <c r="Z138" i="19"/>
  <c r="AA138" i="19"/>
  <c r="AB138" i="19"/>
  <c r="W138" i="19"/>
  <c r="AB137" i="19"/>
  <c r="X137" i="19"/>
  <c r="Y137" i="19"/>
  <c r="Z137" i="19"/>
  <c r="AA137" i="19"/>
  <c r="W137" i="19"/>
  <c r="X135" i="19"/>
  <c r="Y135" i="19"/>
  <c r="Z135" i="19"/>
  <c r="AA135" i="19"/>
  <c r="AB135" i="19"/>
  <c r="W135" i="19"/>
  <c r="X134" i="19"/>
  <c r="Y134" i="19"/>
  <c r="Z134" i="19"/>
  <c r="AA134" i="19"/>
  <c r="AB134" i="19"/>
  <c r="W134" i="19"/>
  <c r="X132" i="19"/>
  <c r="Y132" i="19"/>
  <c r="Z132" i="19"/>
  <c r="AA132" i="19"/>
  <c r="AB132" i="19"/>
  <c r="AC132" i="19"/>
  <c r="AD132" i="19"/>
  <c r="AE132" i="19"/>
  <c r="AF132" i="19"/>
  <c r="AG132" i="19"/>
  <c r="AH132" i="19"/>
  <c r="W132" i="19"/>
  <c r="V142" i="19"/>
  <c r="U142" i="19"/>
  <c r="V136" i="19"/>
  <c r="U136" i="19"/>
  <c r="V135" i="19"/>
  <c r="U135" i="19"/>
  <c r="V133" i="19"/>
  <c r="U133" i="19"/>
  <c r="V132" i="19"/>
  <c r="U132" i="19"/>
  <c r="AE125" i="19"/>
  <c r="AD125" i="19"/>
  <c r="AC125" i="19"/>
  <c r="AE124" i="19"/>
  <c r="AD124" i="19"/>
  <c r="AC124" i="19"/>
  <c r="AE123" i="19"/>
  <c r="AD123" i="19"/>
  <c r="AC123" i="19"/>
  <c r="AD122" i="19"/>
  <c r="AE122" i="19"/>
  <c r="AC122" i="19"/>
  <c r="AD121" i="19"/>
  <c r="AE121" i="19"/>
  <c r="AF121" i="19"/>
  <c r="AG121" i="19"/>
  <c r="AH121" i="19"/>
  <c r="AC121" i="19"/>
  <c r="AD120" i="19"/>
  <c r="AE120" i="19"/>
  <c r="AF120" i="19"/>
  <c r="AG120" i="19"/>
  <c r="AH120" i="19"/>
  <c r="AC120" i="19"/>
  <c r="AD119" i="19"/>
  <c r="AE119" i="19"/>
  <c r="AF119" i="19"/>
  <c r="AG119" i="19"/>
  <c r="AH119" i="19"/>
  <c r="AC119" i="19"/>
  <c r="AD118" i="19"/>
  <c r="AE118" i="19"/>
  <c r="AC118" i="19"/>
  <c r="AE117" i="19"/>
  <c r="AD117" i="19"/>
  <c r="AC117" i="19"/>
  <c r="AE116" i="19"/>
  <c r="AD116" i="19"/>
  <c r="AC116" i="19"/>
  <c r="V124" i="19"/>
  <c r="U124" i="19"/>
  <c r="V123" i="19"/>
  <c r="U123" i="19"/>
  <c r="AH127" i="19"/>
  <c r="X127" i="19"/>
  <c r="Y127" i="19"/>
  <c r="Z127" i="19"/>
  <c r="AA127" i="19"/>
  <c r="AB127" i="19"/>
  <c r="AC127" i="19"/>
  <c r="AD127" i="19"/>
  <c r="AE127" i="19"/>
  <c r="AF127" i="19"/>
  <c r="AG127" i="19"/>
  <c r="W127" i="19"/>
  <c r="AH126" i="19"/>
  <c r="X126" i="19"/>
  <c r="Y126" i="19"/>
  <c r="Z126" i="19"/>
  <c r="AA126" i="19"/>
  <c r="AB126" i="19"/>
  <c r="AC126" i="19"/>
  <c r="AD126" i="19"/>
  <c r="AE126" i="19"/>
  <c r="AF126" i="19"/>
  <c r="AG126" i="19"/>
  <c r="W126" i="19"/>
  <c r="AB125" i="19"/>
  <c r="X125" i="19"/>
  <c r="Y125" i="19"/>
  <c r="Z125" i="19"/>
  <c r="AA125" i="19"/>
  <c r="W125" i="19"/>
  <c r="AB124" i="19"/>
  <c r="X124" i="19"/>
  <c r="Y124" i="19"/>
  <c r="Z124" i="19"/>
  <c r="AA124" i="19"/>
  <c r="W124" i="19"/>
  <c r="AB123" i="19"/>
  <c r="X123" i="19"/>
  <c r="Y123" i="19"/>
  <c r="Z123" i="19"/>
  <c r="AA123" i="19"/>
  <c r="W123" i="19"/>
  <c r="X122" i="19"/>
  <c r="Y122" i="19"/>
  <c r="Z122" i="19"/>
  <c r="AA122" i="19"/>
  <c r="AB122" i="19"/>
  <c r="W122" i="19"/>
  <c r="AB121" i="19"/>
  <c r="V121" i="19"/>
  <c r="W121" i="19"/>
  <c r="X121" i="19"/>
  <c r="Y121" i="19"/>
  <c r="Z121" i="19"/>
  <c r="AA121" i="19"/>
  <c r="U121" i="19"/>
  <c r="V120" i="19"/>
  <c r="W120" i="19"/>
  <c r="X120" i="19"/>
  <c r="Y120" i="19"/>
  <c r="Z120" i="19"/>
  <c r="AA120" i="19"/>
  <c r="AB120" i="19"/>
  <c r="U120" i="19"/>
  <c r="U119" i="19"/>
  <c r="V119" i="19"/>
  <c r="W119" i="19"/>
  <c r="X119" i="19"/>
  <c r="Y119" i="19"/>
  <c r="Z119" i="19"/>
  <c r="AA119" i="19"/>
  <c r="AB119" i="19"/>
  <c r="AB118" i="19"/>
  <c r="V118" i="19"/>
  <c r="W118" i="19"/>
  <c r="X118" i="19"/>
  <c r="Y118" i="19"/>
  <c r="Z118" i="19"/>
  <c r="AA118" i="19"/>
  <c r="U118" i="19"/>
  <c r="AB117" i="19"/>
  <c r="X117" i="19"/>
  <c r="Y117" i="19"/>
  <c r="Z117" i="19"/>
  <c r="AA117" i="19"/>
  <c r="W117" i="19"/>
  <c r="V117" i="19"/>
  <c r="U117" i="19"/>
  <c r="AB116" i="19"/>
  <c r="X116" i="19"/>
  <c r="Y116" i="19"/>
  <c r="Z116" i="19"/>
  <c r="AA116" i="19"/>
  <c r="W116" i="19"/>
  <c r="V116" i="19"/>
  <c r="U116" i="19"/>
  <c r="AH105" i="19"/>
  <c r="AD105" i="19"/>
  <c r="AE105" i="19"/>
  <c r="AF105" i="19"/>
  <c r="AG105" i="19"/>
  <c r="AC105" i="19"/>
  <c r="AH104" i="19"/>
  <c r="AC104" i="19"/>
  <c r="AD104" i="19"/>
  <c r="AE104" i="19"/>
  <c r="AF104" i="19"/>
  <c r="AG104" i="19"/>
  <c r="AH102" i="19"/>
  <c r="AD102" i="19"/>
  <c r="AE102" i="19"/>
  <c r="AF102" i="19"/>
  <c r="AG102" i="19"/>
  <c r="AC102" i="19"/>
  <c r="AH101" i="19"/>
  <c r="AD101" i="19"/>
  <c r="AE101" i="19"/>
  <c r="AF101" i="19"/>
  <c r="AG101" i="19"/>
  <c r="AC101" i="19"/>
  <c r="AD114" i="19"/>
  <c r="AE114" i="19"/>
  <c r="AC114" i="19"/>
  <c r="AB114" i="19"/>
  <c r="Z114" i="19"/>
  <c r="AA114" i="19"/>
  <c r="Y114" i="19"/>
  <c r="AA110" i="19"/>
  <c r="AB110" i="19"/>
  <c r="Z110" i="19"/>
  <c r="AB105" i="19"/>
  <c r="V105" i="19"/>
  <c r="W105" i="19"/>
  <c r="X105" i="19"/>
  <c r="Y105" i="19"/>
  <c r="Z105" i="19"/>
  <c r="AA105" i="19"/>
  <c r="U105" i="19"/>
  <c r="V104" i="19"/>
  <c r="W104" i="19"/>
  <c r="X104" i="19"/>
  <c r="Y104" i="19"/>
  <c r="Z104" i="19"/>
  <c r="AA104" i="19"/>
  <c r="AB104" i="19"/>
  <c r="U104" i="19"/>
  <c r="V103" i="19"/>
  <c r="W103" i="19"/>
  <c r="X103" i="19"/>
  <c r="Y103" i="19"/>
  <c r="Z103" i="19"/>
  <c r="AA103" i="19"/>
  <c r="AB103" i="19"/>
  <c r="U103" i="19"/>
  <c r="AB102" i="19"/>
  <c r="V102" i="19"/>
  <c r="W102" i="19"/>
  <c r="X102" i="19"/>
  <c r="Y102" i="19"/>
  <c r="Z102" i="19"/>
  <c r="AA102" i="19"/>
  <c r="U102" i="19"/>
  <c r="AB101" i="19"/>
  <c r="V101" i="19"/>
  <c r="W101" i="19"/>
  <c r="X101" i="19"/>
  <c r="Y101" i="19"/>
  <c r="Z101" i="19"/>
  <c r="AA101" i="19"/>
  <c r="U101" i="19"/>
  <c r="AE100" i="19"/>
  <c r="AD100" i="19"/>
  <c r="AC100" i="19"/>
  <c r="AB100" i="19"/>
  <c r="Z100" i="19"/>
  <c r="AA100" i="19"/>
  <c r="Y100" i="19"/>
  <c r="AD99" i="19"/>
  <c r="AE99" i="19"/>
  <c r="AC99" i="19"/>
  <c r="AD98" i="19"/>
  <c r="AE98" i="19"/>
  <c r="AC98" i="19"/>
  <c r="AB99" i="19"/>
  <c r="V99" i="19"/>
  <c r="W99" i="19"/>
  <c r="X99" i="19"/>
  <c r="Y99" i="19"/>
  <c r="Z99" i="19"/>
  <c r="AA99" i="19"/>
  <c r="U99" i="19"/>
  <c r="AB98" i="19"/>
  <c r="V98" i="19"/>
  <c r="W98" i="19"/>
  <c r="X98" i="19"/>
  <c r="Y98" i="19"/>
  <c r="Z98" i="19"/>
  <c r="AA98" i="19"/>
  <c r="U98" i="19"/>
  <c r="AD97" i="19"/>
  <c r="AE97" i="19"/>
  <c r="AC97" i="19"/>
  <c r="AB97" i="19"/>
  <c r="Z97" i="19"/>
  <c r="AA97" i="19"/>
  <c r="Y97" i="19"/>
  <c r="X97" i="19"/>
  <c r="V97" i="19"/>
  <c r="W97" i="19"/>
  <c r="U97" i="19"/>
  <c r="AH96" i="19"/>
  <c r="AD96" i="19"/>
  <c r="AE96" i="19"/>
  <c r="AF96" i="19"/>
  <c r="AG96" i="19"/>
  <c r="AC96" i="19"/>
  <c r="AB96" i="19"/>
  <c r="V96" i="19"/>
  <c r="W96" i="19"/>
  <c r="X96" i="19"/>
  <c r="Y96" i="19"/>
  <c r="Z96" i="19"/>
  <c r="AA96" i="19"/>
  <c r="U96" i="19"/>
  <c r="AH95" i="19"/>
  <c r="AD95" i="19"/>
  <c r="AE95" i="19"/>
  <c r="AF95" i="19"/>
  <c r="AG95" i="19"/>
  <c r="AC95" i="19"/>
  <c r="BA145" i="19"/>
  <c r="AX145" i="19"/>
  <c r="AY145" i="19"/>
  <c r="AZ145" i="19"/>
  <c r="AW145" i="19"/>
  <c r="BA144" i="19"/>
  <c r="AX144" i="19"/>
  <c r="AY144" i="19"/>
  <c r="AZ144" i="19"/>
  <c r="AW144" i="19"/>
  <c r="AY142" i="19"/>
  <c r="AZ142" i="19"/>
  <c r="BA142" i="19"/>
  <c r="BB142" i="19"/>
  <c r="AX142" i="19"/>
  <c r="AY141" i="19"/>
  <c r="AZ141" i="19"/>
  <c r="BA141" i="19"/>
  <c r="BB141" i="19"/>
  <c r="AX141" i="19"/>
  <c r="BB140" i="19"/>
  <c r="AY140" i="19"/>
  <c r="AZ140" i="19"/>
  <c r="BA140" i="19"/>
  <c r="AX140" i="19"/>
  <c r="AY139" i="19"/>
  <c r="AZ139" i="19"/>
  <c r="BA139" i="19"/>
  <c r="BB139" i="19"/>
  <c r="AX139" i="19"/>
  <c r="BB138" i="19"/>
  <c r="AY138" i="19"/>
  <c r="AZ138" i="19"/>
  <c r="BA138" i="19"/>
  <c r="AX138" i="19"/>
  <c r="AR145" i="19"/>
  <c r="AS145" i="19"/>
  <c r="AT145" i="19"/>
  <c r="AU145" i="19"/>
  <c r="AV145" i="19"/>
  <c r="AQ145" i="19"/>
  <c r="AR144" i="19"/>
  <c r="AS144" i="19"/>
  <c r="AT144" i="19"/>
  <c r="AU144" i="19"/>
  <c r="AV144" i="19"/>
  <c r="AQ144" i="19"/>
  <c r="BA143" i="19"/>
  <c r="AR143" i="19"/>
  <c r="AS143" i="19"/>
  <c r="AT143" i="19"/>
  <c r="AU143" i="19"/>
  <c r="AV143" i="19"/>
  <c r="AW143" i="19"/>
  <c r="AX143" i="19"/>
  <c r="AY143" i="19"/>
  <c r="AZ143" i="19"/>
  <c r="AQ143" i="19"/>
  <c r="AS142" i="19"/>
  <c r="AT142" i="19"/>
  <c r="AU142" i="19"/>
  <c r="AV142" i="19"/>
  <c r="AW142" i="19"/>
  <c r="AR142" i="19"/>
  <c r="AW141" i="19"/>
  <c r="AS141" i="19"/>
  <c r="AT141" i="19"/>
  <c r="AU141" i="19"/>
  <c r="AV141" i="19"/>
  <c r="AR141" i="19"/>
  <c r="AW140" i="19"/>
  <c r="AS140" i="19"/>
  <c r="AT140" i="19"/>
  <c r="AU140" i="19"/>
  <c r="AV140" i="19"/>
  <c r="AR140" i="19"/>
  <c r="AW139" i="19"/>
  <c r="AS139" i="19"/>
  <c r="AT139" i="19"/>
  <c r="AU139" i="19"/>
  <c r="AV139" i="19"/>
  <c r="AR139" i="19"/>
  <c r="AS138" i="19"/>
  <c r="AT138" i="19"/>
  <c r="AU138" i="19"/>
  <c r="AV138" i="19"/>
  <c r="AW138" i="19"/>
  <c r="AR138" i="19"/>
  <c r="AQ142" i="19"/>
  <c r="AP142" i="19"/>
  <c r="AQ141" i="19"/>
  <c r="AP141" i="19"/>
  <c r="AQ140" i="19"/>
  <c r="AP140" i="19"/>
  <c r="AQ139" i="19"/>
  <c r="AP139" i="19"/>
  <c r="AQ138" i="19"/>
  <c r="AP138" i="19"/>
  <c r="AP145" i="19"/>
  <c r="AJ145" i="19"/>
  <c r="AK145" i="19"/>
  <c r="AL145" i="19"/>
  <c r="AM145" i="19"/>
  <c r="AN145" i="19"/>
  <c r="AO145" i="19"/>
  <c r="AI145" i="19"/>
  <c r="AP144" i="19"/>
  <c r="AJ144" i="19"/>
  <c r="AK144" i="19"/>
  <c r="AL144" i="19"/>
  <c r="AM144" i="19"/>
  <c r="AN144" i="19"/>
  <c r="AO144" i="19"/>
  <c r="AI144" i="19"/>
  <c r="AP143" i="19"/>
  <c r="AJ143" i="19"/>
  <c r="AK143" i="19"/>
  <c r="AL143" i="19"/>
  <c r="AM143" i="19"/>
  <c r="AN143" i="19"/>
  <c r="AO143" i="19"/>
  <c r="AI143" i="19"/>
  <c r="AJ142" i="19"/>
  <c r="AK142" i="19"/>
  <c r="AL142" i="19"/>
  <c r="AM142" i="19"/>
  <c r="AN142" i="19"/>
  <c r="AI142" i="19"/>
  <c r="AO141" i="19"/>
  <c r="AJ141" i="19"/>
  <c r="AK141" i="19"/>
  <c r="AL141" i="19"/>
  <c r="AM141" i="19"/>
  <c r="AN141" i="19"/>
  <c r="AI141" i="19"/>
  <c r="AO140" i="19"/>
  <c r="AJ140" i="19"/>
  <c r="AK140" i="19"/>
  <c r="AL140" i="19"/>
  <c r="AM140" i="19"/>
  <c r="AN140" i="19"/>
  <c r="AI140" i="19"/>
  <c r="AO139" i="19"/>
  <c r="AJ139" i="19"/>
  <c r="AK139" i="19"/>
  <c r="AL139" i="19"/>
  <c r="AM139" i="19"/>
  <c r="AN139" i="19"/>
  <c r="AI139" i="19"/>
  <c r="AO138" i="19"/>
  <c r="AJ138" i="19"/>
  <c r="AK138" i="19"/>
  <c r="AL138" i="19"/>
  <c r="AM138" i="19"/>
  <c r="AN138" i="19"/>
  <c r="AI138" i="19"/>
  <c r="AH145" i="19"/>
  <c r="AG145" i="19"/>
  <c r="AF145" i="19"/>
  <c r="AG144" i="19"/>
  <c r="AH144" i="19"/>
  <c r="AF144" i="19"/>
  <c r="AG142" i="19"/>
  <c r="AH142" i="19"/>
  <c r="AF142" i="19"/>
  <c r="AG141" i="19"/>
  <c r="AH141" i="19"/>
  <c r="AF141" i="19"/>
  <c r="AH140" i="19"/>
  <c r="AG140" i="19"/>
  <c r="AH139" i="19"/>
  <c r="AG139" i="19"/>
  <c r="AF139" i="19"/>
  <c r="AH138" i="19"/>
  <c r="AG138" i="19"/>
  <c r="AF138" i="19"/>
  <c r="AY137" i="19"/>
  <c r="AZ137" i="19"/>
  <c r="BA137" i="19"/>
  <c r="BB137" i="19"/>
  <c r="AX137" i="19"/>
  <c r="AS137" i="19"/>
  <c r="AT137" i="19"/>
  <c r="AU137" i="19"/>
  <c r="AV137" i="19"/>
  <c r="AW137" i="19"/>
  <c r="AR137" i="19"/>
  <c r="AQ137" i="19"/>
  <c r="AP137" i="19"/>
  <c r="AO137" i="19"/>
  <c r="AJ137" i="19"/>
  <c r="AK137" i="19"/>
  <c r="AL137" i="19"/>
  <c r="AM137" i="19"/>
  <c r="AN137" i="19"/>
  <c r="AI137" i="19"/>
  <c r="AH137" i="19"/>
  <c r="AG137" i="19"/>
  <c r="AF137" i="19"/>
  <c r="BB136" i="19"/>
  <c r="AY136" i="19"/>
  <c r="AZ136" i="19"/>
  <c r="BA136" i="19"/>
  <c r="AX136" i="19"/>
  <c r="AW136" i="19"/>
  <c r="AS136" i="19"/>
  <c r="AT136" i="19"/>
  <c r="AU136" i="19"/>
  <c r="AV136" i="19"/>
  <c r="AR136" i="19"/>
  <c r="AQ136" i="19"/>
  <c r="AP136" i="19"/>
  <c r="AH136" i="19"/>
  <c r="AG136" i="19"/>
  <c r="AF136" i="19"/>
  <c r="BB135" i="19"/>
  <c r="AY135" i="19"/>
  <c r="AZ135" i="19"/>
  <c r="BA135" i="19"/>
  <c r="AX135" i="19"/>
  <c r="AS135" i="19"/>
  <c r="AT135" i="19"/>
  <c r="AU135" i="19"/>
  <c r="AV135" i="19"/>
  <c r="AW135" i="19"/>
  <c r="AR135" i="19"/>
  <c r="AQ135" i="19"/>
  <c r="AP135" i="19"/>
  <c r="AO135" i="19"/>
  <c r="AI135" i="19"/>
  <c r="AJ135" i="19"/>
  <c r="AK135" i="19"/>
  <c r="AL135" i="19"/>
  <c r="AM135" i="19"/>
  <c r="AN135" i="19"/>
  <c r="AG135" i="19"/>
  <c r="AH135" i="19"/>
  <c r="AF135" i="19"/>
  <c r="BB134" i="19"/>
  <c r="AY134" i="19"/>
  <c r="AZ134" i="19"/>
  <c r="BA134" i="19"/>
  <c r="AX134" i="19"/>
  <c r="AW134" i="19"/>
  <c r="AS134" i="19"/>
  <c r="AT134" i="19"/>
  <c r="AU134" i="19"/>
  <c r="AV134" i="19"/>
  <c r="AR134" i="19"/>
  <c r="AQ134" i="19"/>
  <c r="AP134" i="19"/>
  <c r="AO134" i="19"/>
  <c r="AJ134" i="19"/>
  <c r="AK134" i="19"/>
  <c r="AL134" i="19"/>
  <c r="AM134" i="19"/>
  <c r="AN134" i="19"/>
  <c r="AI134" i="19"/>
  <c r="AH134" i="19"/>
  <c r="AG134" i="19"/>
  <c r="AF134" i="19"/>
  <c r="BB132" i="19"/>
  <c r="AY132" i="19"/>
  <c r="AZ132" i="19"/>
  <c r="BA132" i="19"/>
  <c r="AX132" i="19"/>
  <c r="AW132" i="19"/>
  <c r="AS132" i="19"/>
  <c r="AT132" i="19"/>
  <c r="AU132" i="19"/>
  <c r="AV132" i="19"/>
  <c r="AR132" i="19"/>
  <c r="AQ132" i="19"/>
  <c r="AP132" i="19"/>
  <c r="AO132" i="19"/>
  <c r="AJ132" i="19"/>
  <c r="AK132" i="19"/>
  <c r="AL132" i="19"/>
  <c r="AM132" i="19"/>
  <c r="AN132" i="19"/>
  <c r="AI132" i="19"/>
  <c r="BA130" i="19"/>
  <c r="AX130" i="19"/>
  <c r="AY130" i="19"/>
  <c r="AZ130" i="19"/>
  <c r="AW130" i="19"/>
  <c r="BA129" i="19"/>
  <c r="AW129" i="19"/>
  <c r="AX129" i="19"/>
  <c r="AY129" i="19"/>
  <c r="AZ129" i="19"/>
  <c r="AV129" i="19"/>
  <c r="BD128" i="19"/>
  <c r="BA128" i="19"/>
  <c r="BB128" i="19"/>
  <c r="BC128" i="19"/>
  <c r="AZ128" i="19"/>
  <c r="AW128" i="19"/>
  <c r="AX128" i="19"/>
  <c r="AY128" i="19"/>
  <c r="AV128" i="19"/>
  <c r="BD126" i="19"/>
  <c r="BB126" i="19"/>
  <c r="BC126" i="19"/>
  <c r="BA126" i="19"/>
  <c r="AZ126" i="19"/>
  <c r="AW126" i="19"/>
  <c r="AX126" i="19"/>
  <c r="AY126" i="19"/>
  <c r="AV126" i="19"/>
  <c r="AT126" i="19"/>
  <c r="AP126" i="19"/>
  <c r="AQ126" i="19"/>
  <c r="AR126" i="19"/>
  <c r="AS126" i="19"/>
  <c r="AO126" i="19"/>
  <c r="AN126" i="19"/>
  <c r="AM126" i="19"/>
  <c r="AL126" i="19"/>
  <c r="AJ126" i="19"/>
  <c r="AK126" i="19"/>
  <c r="AI126" i="19"/>
  <c r="BA125" i="19"/>
  <c r="AZ125" i="19"/>
  <c r="AY125" i="19"/>
  <c r="AW125" i="19"/>
  <c r="AX125" i="19"/>
  <c r="AV125" i="19"/>
  <c r="AU125" i="19"/>
  <c r="AR125" i="19"/>
  <c r="AS125" i="19"/>
  <c r="AT125" i="19"/>
  <c r="AQ125" i="19"/>
  <c r="AP125" i="19"/>
  <c r="AO125" i="19"/>
  <c r="AN125" i="19"/>
  <c r="AJ125" i="19"/>
  <c r="AK125" i="19"/>
  <c r="AL125" i="19"/>
  <c r="AM125" i="19"/>
  <c r="AI125" i="19"/>
  <c r="AG125" i="19"/>
  <c r="AH125" i="19"/>
  <c r="AF125" i="19"/>
  <c r="BD124" i="19"/>
  <c r="BC124" i="19"/>
  <c r="BB124" i="19"/>
  <c r="BA124" i="19"/>
  <c r="AZ124" i="19"/>
  <c r="AY124" i="19"/>
  <c r="AW124" i="19"/>
  <c r="AX124" i="19"/>
  <c r="AV124" i="19"/>
  <c r="AU124" i="19"/>
  <c r="AR124" i="19"/>
  <c r="AS124" i="19"/>
  <c r="AT124" i="19"/>
  <c r="AQ124" i="19"/>
  <c r="AP124" i="19"/>
  <c r="AJ124" i="19"/>
  <c r="AK124" i="19"/>
  <c r="AL124" i="19"/>
  <c r="AM124" i="19"/>
  <c r="AN124" i="19"/>
  <c r="AO124" i="19"/>
  <c r="AI124" i="19"/>
  <c r="AG124" i="19"/>
  <c r="AH124" i="19"/>
  <c r="AF124" i="19"/>
  <c r="AP123" i="19"/>
  <c r="AJ123" i="19"/>
  <c r="AK123" i="19"/>
  <c r="AL123" i="19"/>
  <c r="AM123" i="19"/>
  <c r="AN123" i="19"/>
  <c r="AO123" i="19"/>
  <c r="AI123" i="19"/>
  <c r="AG123" i="19"/>
  <c r="AH123" i="19"/>
  <c r="AF123" i="19"/>
  <c r="BD122" i="19"/>
  <c r="BC122" i="19"/>
  <c r="BB122" i="19"/>
  <c r="BA122" i="19"/>
  <c r="AZ122" i="19"/>
  <c r="AY122" i="19"/>
  <c r="AW122" i="19"/>
  <c r="AX122" i="19"/>
  <c r="AV122" i="19"/>
  <c r="AU122" i="19"/>
  <c r="AR122" i="19"/>
  <c r="AS122" i="19"/>
  <c r="AT122" i="19"/>
  <c r="AQ122" i="19"/>
  <c r="AP122" i="19"/>
  <c r="AO122" i="19"/>
  <c r="AM122" i="19"/>
  <c r="AN122" i="19"/>
  <c r="AL122" i="19"/>
  <c r="AK122" i="19"/>
  <c r="AJ122" i="19"/>
  <c r="AI122" i="19"/>
  <c r="AG122" i="19"/>
  <c r="AH122" i="19"/>
  <c r="AF122" i="19"/>
  <c r="AW121" i="19"/>
  <c r="AX121" i="19"/>
  <c r="AY121" i="19"/>
  <c r="AZ121" i="19"/>
  <c r="BA121" i="19"/>
  <c r="AV121" i="19"/>
  <c r="AU121" i="19"/>
  <c r="AR121" i="19"/>
  <c r="AS121" i="19"/>
  <c r="AT121" i="19"/>
  <c r="AQ121" i="19"/>
  <c r="AP121" i="19"/>
  <c r="AJ121" i="19"/>
  <c r="AK121" i="19"/>
  <c r="AL121" i="19"/>
  <c r="AM121" i="19"/>
  <c r="AN121" i="19"/>
  <c r="AO121" i="19"/>
  <c r="AI121" i="19"/>
  <c r="BA120" i="19"/>
  <c r="AW120" i="19"/>
  <c r="AX120" i="19"/>
  <c r="AY120" i="19"/>
  <c r="AZ120" i="19"/>
  <c r="AV120" i="19"/>
  <c r="AU120" i="19"/>
  <c r="AR120" i="19"/>
  <c r="AS120" i="19"/>
  <c r="AT120" i="19"/>
  <c r="AQ120" i="19"/>
  <c r="AP120" i="19"/>
  <c r="AJ120" i="19"/>
  <c r="AK120" i="19"/>
  <c r="AL120" i="19"/>
  <c r="AM120" i="19"/>
  <c r="AN120" i="19"/>
  <c r="AO120" i="19"/>
  <c r="AI120" i="19"/>
  <c r="AP119" i="19"/>
  <c r="AJ119" i="19"/>
  <c r="AK119" i="19"/>
  <c r="AL119" i="19"/>
  <c r="AM119" i="19"/>
  <c r="AN119" i="19"/>
  <c r="AO119" i="19"/>
  <c r="AI119" i="19"/>
  <c r="BA118" i="19"/>
  <c r="AW118" i="19"/>
  <c r="AX118" i="19"/>
  <c r="AY118" i="19"/>
  <c r="AZ118" i="19"/>
  <c r="AV118" i="19"/>
  <c r="AU118" i="19"/>
  <c r="AR118" i="19"/>
  <c r="AS118" i="19"/>
  <c r="AT118" i="19"/>
  <c r="AQ118" i="19"/>
  <c r="AP118" i="19"/>
  <c r="AJ118" i="19"/>
  <c r="AK118" i="19"/>
  <c r="AL118" i="19"/>
  <c r="AM118" i="19"/>
  <c r="AN118" i="19"/>
  <c r="AO118" i="19"/>
  <c r="AI118" i="19"/>
  <c r="AH118" i="19"/>
  <c r="AG118" i="19"/>
  <c r="AF118" i="19"/>
  <c r="BD117" i="19"/>
  <c r="BC117" i="19"/>
  <c r="BB117" i="19"/>
  <c r="BA117" i="19"/>
  <c r="AZ117" i="19"/>
  <c r="AU117" i="19"/>
  <c r="AR117" i="19"/>
  <c r="AS117" i="19"/>
  <c r="AT117" i="19"/>
  <c r="AQ117" i="19"/>
  <c r="AP117" i="19"/>
  <c r="AJ117" i="19"/>
  <c r="AK117" i="19"/>
  <c r="AL117" i="19"/>
  <c r="AM117" i="19"/>
  <c r="AN117" i="19"/>
  <c r="AO117" i="19"/>
  <c r="AI117" i="19"/>
  <c r="AG117" i="19"/>
  <c r="AH117" i="19"/>
  <c r="AF117" i="19"/>
  <c r="AP116" i="19"/>
  <c r="AJ116" i="19"/>
  <c r="AK116" i="19"/>
  <c r="AL116" i="19"/>
  <c r="AM116" i="19"/>
  <c r="AN116" i="19"/>
  <c r="AO116" i="19"/>
  <c r="AI116" i="19"/>
  <c r="AH116" i="19"/>
  <c r="AG116" i="19"/>
  <c r="AF116" i="19"/>
  <c r="AW115" i="19"/>
  <c r="AU115" i="19"/>
  <c r="AV115" i="19"/>
  <c r="AT115" i="19"/>
  <c r="BD114" i="19"/>
  <c r="BC114" i="19"/>
  <c r="AR114" i="19"/>
  <c r="AS114" i="19"/>
  <c r="AT114" i="19"/>
  <c r="AQ114" i="19"/>
  <c r="AP114" i="19"/>
  <c r="AJ114" i="19"/>
  <c r="AK114" i="19"/>
  <c r="AL114" i="19"/>
  <c r="AM114" i="19"/>
  <c r="AN114" i="19"/>
  <c r="AO114" i="19"/>
  <c r="AI114" i="19"/>
  <c r="AH114" i="19"/>
  <c r="AG114" i="19"/>
  <c r="AF114" i="19"/>
  <c r="BB113" i="19"/>
  <c r="AZ113" i="19"/>
  <c r="BA113" i="19"/>
  <c r="AY113" i="19"/>
  <c r="AW113" i="19"/>
  <c r="AU113" i="19"/>
  <c r="AV113" i="19"/>
  <c r="AT113" i="19"/>
  <c r="AQ113" i="19"/>
  <c r="AP113" i="19"/>
  <c r="BA112" i="19"/>
  <c r="AZ112" i="19"/>
  <c r="AQ112" i="19"/>
  <c r="AP112" i="19"/>
  <c r="AW111" i="19"/>
  <c r="AU111" i="19"/>
  <c r="AV111" i="19"/>
  <c r="AT111" i="19"/>
  <c r="BC106" i="19"/>
  <c r="BB106" i="19"/>
  <c r="AP106" i="19"/>
  <c r="AO106" i="19"/>
  <c r="BB105" i="19"/>
  <c r="AX105" i="19"/>
  <c r="AY105" i="19"/>
  <c r="AZ105" i="19"/>
  <c r="BA105" i="19"/>
  <c r="AW105" i="19"/>
  <c r="AR105" i="19"/>
  <c r="AS105" i="19"/>
  <c r="AT105" i="19"/>
  <c r="AU105" i="19"/>
  <c r="AV105" i="19"/>
  <c r="AQ105" i="19"/>
  <c r="AP105" i="19"/>
  <c r="AJ105" i="19"/>
  <c r="AK105" i="19"/>
  <c r="AL105" i="19"/>
  <c r="AM105" i="19"/>
  <c r="AN105" i="19"/>
  <c r="AO105" i="19"/>
  <c r="AI105" i="19"/>
  <c r="BB104" i="19"/>
  <c r="AX104" i="19"/>
  <c r="AY104" i="19"/>
  <c r="AZ104" i="19"/>
  <c r="BA104" i="19"/>
  <c r="AW104" i="19"/>
  <c r="AR104" i="19"/>
  <c r="AS104" i="19"/>
  <c r="AT104" i="19"/>
  <c r="AU104" i="19"/>
  <c r="AV104" i="19"/>
  <c r="AQ104" i="19"/>
  <c r="AP104" i="19"/>
  <c r="AJ104" i="19"/>
  <c r="AK104" i="19"/>
  <c r="AL104" i="19"/>
  <c r="AM104" i="19"/>
  <c r="AN104" i="19"/>
  <c r="AO104" i="19"/>
  <c r="AI104" i="19"/>
  <c r="BA102" i="19"/>
  <c r="AX102" i="19"/>
  <c r="AY102" i="19"/>
  <c r="AZ102" i="19"/>
  <c r="AW102" i="19"/>
  <c r="AR102" i="19"/>
  <c r="AS102" i="19"/>
  <c r="AT102" i="19"/>
  <c r="AU102" i="19"/>
  <c r="AV102" i="19"/>
  <c r="AQ102" i="19"/>
  <c r="AP102" i="19"/>
  <c r="AJ102" i="19"/>
  <c r="AK102" i="19"/>
  <c r="AL102" i="19"/>
  <c r="AM102" i="19"/>
  <c r="AN102" i="19"/>
  <c r="AO102" i="19"/>
  <c r="AI102" i="19"/>
  <c r="AX101" i="19"/>
  <c r="AY101" i="19"/>
  <c r="AZ101" i="19"/>
  <c r="BA101" i="19"/>
  <c r="BB101" i="19"/>
  <c r="AW101" i="19"/>
  <c r="AR101" i="19"/>
  <c r="AS101" i="19"/>
  <c r="AT101" i="19"/>
  <c r="AU101" i="19"/>
  <c r="AV101" i="19"/>
  <c r="AQ101" i="19"/>
  <c r="AJ101" i="19"/>
  <c r="AK101" i="19"/>
  <c r="AL101" i="19"/>
  <c r="AM101" i="19"/>
  <c r="AN101" i="19"/>
  <c r="AO101" i="19"/>
  <c r="AP101" i="19"/>
  <c r="AI101" i="19"/>
  <c r="BC100" i="19"/>
  <c r="BD100" i="19"/>
  <c r="BB100" i="19"/>
  <c r="BA100" i="19"/>
  <c r="AZ100" i="19"/>
  <c r="AY100" i="19"/>
  <c r="AW100" i="19"/>
  <c r="AX100" i="19"/>
  <c r="AV100" i="19"/>
  <c r="AR100" i="19"/>
  <c r="AS100" i="19"/>
  <c r="AT100" i="19"/>
  <c r="AQ100" i="19"/>
  <c r="AP100" i="19"/>
  <c r="AJ100" i="19"/>
  <c r="AK100" i="19"/>
  <c r="AL100" i="19"/>
  <c r="AM100" i="19"/>
  <c r="AN100" i="19"/>
  <c r="AO100" i="19"/>
  <c r="AI100" i="19"/>
  <c r="AG100" i="19"/>
  <c r="AH100" i="19"/>
  <c r="AF100" i="19"/>
  <c r="BC99" i="19"/>
  <c r="BD99" i="19"/>
  <c r="BB99" i="19"/>
  <c r="BA99" i="19"/>
  <c r="AZ99" i="19"/>
  <c r="AY99" i="19"/>
  <c r="AW99" i="19"/>
  <c r="AX99" i="19"/>
  <c r="AV99" i="19"/>
  <c r="AT99" i="19"/>
  <c r="AR99" i="19"/>
  <c r="AS99" i="19"/>
  <c r="AQ99" i="19"/>
  <c r="AP99" i="19"/>
  <c r="AJ99" i="19"/>
  <c r="AK99" i="19"/>
  <c r="AL99" i="19"/>
  <c r="AM99" i="19"/>
  <c r="AN99" i="19"/>
  <c r="AO99" i="19"/>
  <c r="AI99" i="19"/>
  <c r="AG99" i="19"/>
  <c r="AH99" i="19"/>
  <c r="AF99" i="19"/>
  <c r="BA98" i="19"/>
  <c r="AX98" i="19"/>
  <c r="AY98" i="19"/>
  <c r="AZ98" i="19"/>
  <c r="AW98" i="19"/>
  <c r="AR98" i="19"/>
  <c r="AS98" i="19"/>
  <c r="AT98" i="19"/>
  <c r="AU98" i="19"/>
  <c r="AV98" i="19"/>
  <c r="AQ98" i="19"/>
  <c r="AP98" i="19"/>
  <c r="AJ98" i="19"/>
  <c r="AK98" i="19"/>
  <c r="AL98" i="19"/>
  <c r="AM98" i="19"/>
  <c r="AN98" i="19"/>
  <c r="AO98" i="19"/>
  <c r="AI98" i="19"/>
  <c r="AH98" i="19"/>
  <c r="AG98" i="19"/>
  <c r="AF98" i="19"/>
  <c r="BD97" i="19"/>
  <c r="BC97" i="19"/>
  <c r="BA97" i="19"/>
  <c r="AZ97" i="19"/>
  <c r="AY97" i="19"/>
  <c r="AX97" i="19"/>
  <c r="AW97" i="19"/>
  <c r="AT97" i="19"/>
  <c r="AR97" i="19"/>
  <c r="AS97" i="19"/>
  <c r="AQ97" i="19"/>
  <c r="AP97" i="19"/>
  <c r="AJ97" i="19"/>
  <c r="AK97" i="19"/>
  <c r="AL97" i="19"/>
  <c r="AM97" i="19"/>
  <c r="AN97" i="19"/>
  <c r="AO97" i="19"/>
  <c r="AI97" i="19"/>
  <c r="AG97" i="19"/>
  <c r="AH97" i="19"/>
  <c r="AF97" i="19"/>
  <c r="BB96" i="19"/>
  <c r="AX96" i="19"/>
  <c r="AY96" i="19"/>
  <c r="AZ96" i="19"/>
  <c r="BA96" i="19"/>
  <c r="AW96" i="19"/>
  <c r="AR96" i="19"/>
  <c r="AS96" i="19"/>
  <c r="AT96" i="19"/>
  <c r="AU96" i="19"/>
  <c r="AV96" i="19"/>
  <c r="AQ96" i="19"/>
  <c r="AP96" i="19"/>
  <c r="AJ96" i="19"/>
  <c r="AK96" i="19"/>
  <c r="AL96" i="19"/>
  <c r="AM96" i="19"/>
  <c r="AN96" i="19"/>
  <c r="AO96" i="19"/>
  <c r="AI96" i="19"/>
  <c r="BD94" i="19"/>
  <c r="BC94" i="19"/>
  <c r="BB94" i="19"/>
  <c r="BA94" i="19"/>
  <c r="AZ94" i="19"/>
  <c r="AT93" i="19"/>
  <c r="AP93" i="19"/>
  <c r="AQ93" i="19"/>
  <c r="AR93" i="19"/>
  <c r="AS93" i="19"/>
  <c r="AO93" i="19"/>
  <c r="BD92" i="19"/>
  <c r="BA92" i="19"/>
  <c r="BB92" i="19"/>
  <c r="BC92" i="19"/>
  <c r="AZ92" i="19"/>
  <c r="AY92" i="19"/>
  <c r="AW92" i="19"/>
  <c r="AX92" i="19"/>
  <c r="AV92" i="19"/>
  <c r="AT92" i="19"/>
  <c r="AP92" i="19"/>
  <c r="AQ92" i="19"/>
  <c r="AR92" i="19"/>
  <c r="AS92" i="19"/>
  <c r="AO92" i="19"/>
  <c r="BD91" i="19"/>
  <c r="BA91" i="19"/>
  <c r="BB91" i="19"/>
  <c r="BC91" i="19"/>
  <c r="AZ91" i="19"/>
  <c r="AY91" i="19"/>
  <c r="AV91" i="19"/>
  <c r="AW91" i="19"/>
  <c r="AX91" i="19"/>
  <c r="AU91" i="19"/>
  <c r="AT91" i="19"/>
  <c r="AP91" i="19"/>
  <c r="AQ91" i="19"/>
  <c r="AR91" i="19"/>
  <c r="AS91" i="19"/>
  <c r="AO91" i="19"/>
  <c r="BC90" i="19"/>
  <c r="BD90" i="19"/>
  <c r="BB90" i="19"/>
  <c r="BA90" i="19"/>
  <c r="AZ90" i="19"/>
  <c r="AY90" i="19"/>
  <c r="AV90" i="19"/>
  <c r="AW90" i="19"/>
  <c r="AX90" i="19"/>
  <c r="AU90" i="19"/>
  <c r="AT90" i="19"/>
  <c r="AP90" i="19"/>
  <c r="AQ90" i="19"/>
  <c r="AR90" i="19"/>
  <c r="AS90" i="19"/>
  <c r="AO90" i="19"/>
  <c r="BD89" i="19"/>
  <c r="BA89" i="19"/>
  <c r="BB89" i="19"/>
  <c r="BC89" i="19"/>
  <c r="AZ89" i="19"/>
  <c r="AV89" i="19"/>
  <c r="AW89" i="19"/>
  <c r="AX89" i="19"/>
  <c r="AY89" i="19"/>
  <c r="AU89" i="19"/>
  <c r="AT89" i="19"/>
  <c r="AP89" i="19"/>
  <c r="AQ89" i="19"/>
  <c r="AR89" i="19"/>
  <c r="AS89" i="19"/>
  <c r="AO89" i="19"/>
  <c r="BD88" i="19"/>
  <c r="BA88" i="19"/>
  <c r="BB88" i="19"/>
  <c r="BC88" i="19"/>
  <c r="AZ88" i="19"/>
  <c r="AV88" i="19"/>
  <c r="AW88" i="19"/>
  <c r="AX88" i="19"/>
  <c r="AY88" i="19"/>
  <c r="AU88" i="19"/>
  <c r="AT88" i="19"/>
  <c r="AP88" i="19"/>
  <c r="AQ88" i="19"/>
  <c r="AR88" i="19"/>
  <c r="AS88" i="19"/>
  <c r="AO88" i="19"/>
  <c r="BD87" i="19"/>
  <c r="BA87" i="19"/>
  <c r="BB87" i="19"/>
  <c r="BC87" i="19"/>
  <c r="AZ87" i="19"/>
  <c r="AY87" i="19"/>
  <c r="AW87" i="19"/>
  <c r="AX87" i="19"/>
  <c r="AV87" i="19"/>
  <c r="AT87" i="19"/>
  <c r="AP87" i="19"/>
  <c r="AQ87" i="19"/>
  <c r="AR87" i="19"/>
  <c r="AS87" i="19"/>
  <c r="AO87" i="19"/>
  <c r="BD85" i="19"/>
  <c r="BC85" i="19"/>
  <c r="BB85" i="19"/>
  <c r="BA85" i="19"/>
  <c r="AZ85" i="19"/>
  <c r="AY85" i="19"/>
  <c r="AW85" i="19"/>
  <c r="AX85" i="19"/>
  <c r="AR85" i="19"/>
  <c r="AS85" i="19"/>
  <c r="AT85" i="19"/>
  <c r="AU85" i="19"/>
  <c r="AQ85" i="19"/>
  <c r="BC84" i="19"/>
  <c r="BD84" i="19"/>
  <c r="BB84" i="19"/>
  <c r="BA84" i="19"/>
  <c r="AZ84" i="19"/>
  <c r="AY84" i="19"/>
  <c r="AX84" i="19"/>
  <c r="AW84" i="19"/>
  <c r="AT84" i="19"/>
  <c r="AR84" i="19"/>
  <c r="AS84" i="19"/>
  <c r="AQ84" i="19"/>
  <c r="AP84" i="19"/>
  <c r="AO84" i="19"/>
  <c r="BD83" i="19"/>
  <c r="BC83" i="19"/>
  <c r="BB83" i="19"/>
  <c r="BA83" i="19"/>
  <c r="AZ83" i="19"/>
  <c r="AY83" i="19"/>
  <c r="AW83" i="19"/>
  <c r="AX83" i="19"/>
  <c r="AU83" i="19"/>
  <c r="AR83" i="19"/>
  <c r="AS83" i="19"/>
  <c r="AT83" i="19"/>
  <c r="AQ83" i="19"/>
  <c r="BA82" i="19"/>
  <c r="AZ82" i="19"/>
  <c r="AX82" i="19"/>
  <c r="AY82" i="19"/>
  <c r="AW82" i="19"/>
  <c r="AR82" i="19"/>
  <c r="AS82" i="19"/>
  <c r="AT82" i="19"/>
  <c r="AQ82" i="19"/>
  <c r="AP82" i="19"/>
  <c r="AO82" i="19"/>
  <c r="BA81" i="19"/>
  <c r="AZ81" i="19"/>
  <c r="AY81" i="19"/>
  <c r="AX81" i="19"/>
  <c r="AW81" i="19"/>
  <c r="AT81" i="19"/>
  <c r="AR81" i="19"/>
  <c r="AS81" i="19"/>
  <c r="AQ81" i="19"/>
  <c r="AP81" i="19"/>
  <c r="AO81" i="19"/>
  <c r="BA80" i="19"/>
  <c r="AZ80" i="19"/>
  <c r="AY80" i="19"/>
  <c r="AW80" i="19"/>
  <c r="AX80" i="19"/>
  <c r="AV80" i="19"/>
  <c r="AR80" i="19"/>
  <c r="AS80" i="19"/>
  <c r="AT80" i="19"/>
  <c r="AQ80" i="19"/>
  <c r="AX79" i="19"/>
  <c r="AY79" i="19"/>
  <c r="AZ79" i="19"/>
  <c r="BA79" i="19"/>
  <c r="AW79" i="19"/>
  <c r="AU79" i="19"/>
  <c r="AR79" i="19"/>
  <c r="AS79" i="19"/>
  <c r="AT79" i="19"/>
  <c r="AQ79" i="19"/>
  <c r="AP79" i="19"/>
  <c r="AO79" i="19"/>
  <c r="BA78" i="19"/>
  <c r="AX78" i="19"/>
  <c r="AY78" i="19"/>
  <c r="AZ78" i="19"/>
  <c r="AW78" i="19"/>
  <c r="AU78" i="19"/>
  <c r="AR78" i="19"/>
  <c r="AS78" i="19"/>
  <c r="AT78" i="19"/>
  <c r="AQ78" i="19"/>
  <c r="BD82" i="19" l="1"/>
  <c r="BC82" i="19"/>
  <c r="BB82" i="19"/>
  <c r="BD81" i="19" l="1"/>
  <c r="BC81" i="19"/>
  <c r="BB81" i="19"/>
  <c r="BB80" i="19"/>
  <c r="BD80" i="19"/>
  <c r="BC80" i="19"/>
  <c r="BE77" i="19" l="1"/>
  <c r="BD77" i="19"/>
  <c r="BC77" i="19"/>
  <c r="BB77" i="19"/>
  <c r="BA77" i="19"/>
  <c r="BE76" i="19"/>
  <c r="BD76" i="19"/>
  <c r="BE74" i="19"/>
  <c r="BD74" i="19"/>
  <c r="BE73" i="19"/>
  <c r="BD73" i="19"/>
  <c r="BE72" i="19"/>
  <c r="BD72" i="19"/>
  <c r="BD71" i="19"/>
  <c r="BE71" i="19"/>
  <c r="BE70" i="19"/>
  <c r="BD70" i="19"/>
  <c r="BE64" i="19"/>
  <c r="BD64" i="19"/>
  <c r="BC64" i="19"/>
  <c r="BB64" i="19"/>
  <c r="BA64" i="19"/>
  <c r="BE63" i="19"/>
  <c r="BD63" i="19"/>
  <c r="BC63" i="19"/>
  <c r="BB63" i="19"/>
  <c r="BA63" i="19"/>
  <c r="BA67" i="19"/>
  <c r="BE67" i="19"/>
  <c r="BD67" i="19"/>
  <c r="BC67" i="19"/>
  <c r="BB67" i="19"/>
  <c r="BD60" i="19"/>
  <c r="BC60" i="19"/>
  <c r="BD61" i="19"/>
  <c r="BE61" i="19"/>
  <c r="BC61" i="19"/>
  <c r="BB61" i="19"/>
  <c r="BA61" i="19"/>
  <c r="BE58" i="19"/>
  <c r="BD58" i="19"/>
  <c r="BE57" i="19"/>
  <c r="BD57" i="19"/>
  <c r="BE56" i="19"/>
  <c r="BD56" i="19"/>
  <c r="BE48" i="19"/>
  <c r="BD48" i="19"/>
  <c r="BD46" i="19"/>
  <c r="BE46" i="19"/>
  <c r="BE45" i="19"/>
  <c r="BD45" i="19"/>
  <c r="BE40" i="19"/>
  <c r="BD40" i="19"/>
  <c r="BE39" i="19"/>
  <c r="BD39" i="19"/>
  <c r="BE34" i="19"/>
  <c r="BD34" i="19"/>
  <c r="BE30" i="19"/>
  <c r="BD30" i="19"/>
  <c r="BD28" i="19"/>
  <c r="BE28" i="19"/>
  <c r="BC28" i="19"/>
  <c r="BB28" i="19"/>
  <c r="BA28" i="19"/>
  <c r="BE27" i="19"/>
  <c r="BD27" i="19"/>
  <c r="BC27" i="19"/>
  <c r="BD25" i="19"/>
  <c r="BC25" i="19"/>
  <c r="BE22" i="19"/>
  <c r="BD22" i="19"/>
  <c r="BC21" i="19"/>
  <c r="BD21" i="19"/>
  <c r="BD20" i="19"/>
  <c r="BC20" i="19"/>
  <c r="BD15" i="19"/>
  <c r="BC15" i="19"/>
  <c r="BD14" i="19"/>
  <c r="BC14" i="19"/>
  <c r="BD12" i="19"/>
  <c r="BC12" i="19"/>
  <c r="BD11" i="19"/>
  <c r="BC11" i="19"/>
  <c r="BD7" i="19"/>
  <c r="BD10" i="19"/>
  <c r="BC10" i="19"/>
  <c r="BD9" i="19"/>
  <c r="BC9" i="19"/>
  <c r="BC7" i="19"/>
  <c r="BD6" i="19"/>
  <c r="BC6" i="19"/>
  <c r="BD5" i="19"/>
  <c r="BC5" i="19"/>
  <c r="AE134" i="5" l="1"/>
  <c r="AD134" i="5"/>
  <c r="AE142" i="5"/>
  <c r="AD142" i="5"/>
  <c r="AE10" i="5"/>
  <c r="AD10" i="5"/>
  <c r="AE110" i="5"/>
  <c r="AD110" i="5"/>
  <c r="AE138" i="5"/>
  <c r="AD138" i="5"/>
  <c r="AE9" i="5"/>
  <c r="AD9" i="5"/>
  <c r="AE115" i="5"/>
  <c r="AD115" i="5"/>
  <c r="AE64" i="5"/>
  <c r="AD64" i="5"/>
  <c r="AE29" i="5"/>
  <c r="AD29" i="5"/>
  <c r="AE88" i="5"/>
  <c r="AD88" i="5"/>
  <c r="AE15" i="5"/>
  <c r="AD15" i="5"/>
  <c r="AE111" i="5"/>
  <c r="AD111" i="5"/>
  <c r="AE6" i="5"/>
  <c r="AD6" i="5"/>
  <c r="AE79" i="5"/>
  <c r="AD79" i="5"/>
  <c r="AE82" i="5"/>
  <c r="AD82" i="5"/>
  <c r="AE83" i="5"/>
  <c r="AD83" i="5"/>
  <c r="AE117" i="5"/>
  <c r="AD117" i="5"/>
  <c r="AE123" i="5"/>
  <c r="AD123" i="5"/>
  <c r="AE122" i="5"/>
  <c r="AD122" i="5"/>
  <c r="AE44" i="5"/>
  <c r="AD44" i="5"/>
  <c r="AE43" i="5"/>
  <c r="AD43" i="5"/>
  <c r="AE61" i="5"/>
  <c r="AD61" i="5"/>
  <c r="AE36" i="5"/>
  <c r="AD36" i="5"/>
  <c r="AE35" i="5"/>
  <c r="AD35" i="5"/>
  <c r="AE34" i="5"/>
  <c r="AD34" i="5"/>
  <c r="AE50" i="5"/>
  <c r="AD50" i="5"/>
  <c r="AE49" i="5"/>
  <c r="AD49" i="5"/>
  <c r="AE144" i="5"/>
  <c r="AD144" i="5"/>
  <c r="AE100" i="5"/>
  <c r="AD100" i="5"/>
  <c r="AE87" i="5"/>
  <c r="AD87" i="5"/>
  <c r="AE126" i="5"/>
  <c r="AD126" i="5"/>
  <c r="AE25" i="5"/>
  <c r="AD25" i="5"/>
  <c r="AE58" i="5"/>
  <c r="AD58" i="5"/>
  <c r="AE89" i="5"/>
  <c r="AD89" i="5"/>
  <c r="AE70" i="5"/>
  <c r="AD70" i="5"/>
  <c r="AE120" i="5"/>
  <c r="AD120" i="5"/>
  <c r="AE143" i="5"/>
  <c r="AD143" i="5"/>
  <c r="AE102" i="5"/>
  <c r="AD102" i="5"/>
  <c r="AE101" i="5"/>
  <c r="AD101" i="5"/>
  <c r="AE121" i="5"/>
  <c r="AD121" i="5"/>
  <c r="AE90" i="5"/>
  <c r="AD90" i="5"/>
  <c r="AE69" i="5"/>
  <c r="AD69" i="5"/>
  <c r="AE74" i="5"/>
  <c r="AD74" i="5"/>
  <c r="AE73" i="5"/>
  <c r="AD73" i="5"/>
  <c r="AE17" i="5"/>
  <c r="AD17" i="5"/>
  <c r="AE132" i="5"/>
  <c r="AD132" i="5"/>
  <c r="AE13" i="5"/>
  <c r="AD13" i="5"/>
  <c r="AE63" i="5"/>
  <c r="AD63" i="5"/>
  <c r="AE72" i="5"/>
  <c r="AD72" i="5"/>
  <c r="AE71" i="5"/>
  <c r="AD71" i="5"/>
  <c r="AE46" i="5"/>
  <c r="AD46" i="5"/>
  <c r="AE45" i="5"/>
  <c r="AD45" i="5"/>
  <c r="AE42" i="5"/>
  <c r="AD42" i="5"/>
  <c r="AE145" i="5"/>
  <c r="AD145" i="5"/>
  <c r="AE92" i="5"/>
  <c r="AD92" i="5"/>
  <c r="AE48" i="5"/>
  <c r="AD48" i="5"/>
  <c r="AE24" i="5"/>
  <c r="AD24" i="5"/>
  <c r="AE23" i="5"/>
  <c r="AD23" i="5"/>
  <c r="AE139" i="5"/>
  <c r="AD139" i="5"/>
  <c r="AE85" i="5"/>
  <c r="AD85" i="5"/>
  <c r="AE84" i="5"/>
  <c r="AD84" i="5"/>
  <c r="AE80" i="5"/>
  <c r="AD80" i="5"/>
  <c r="AE81" i="5"/>
  <c r="AD81" i="5"/>
  <c r="AE91" i="5"/>
  <c r="AD91" i="5"/>
  <c r="AE12" i="5"/>
  <c r="AD12" i="5"/>
  <c r="AE99" i="5"/>
  <c r="AD99" i="5"/>
  <c r="AE98" i="5"/>
  <c r="AD98" i="5"/>
  <c r="AE116" i="5"/>
  <c r="AD116" i="5"/>
  <c r="AE119" i="5"/>
  <c r="AD119" i="5"/>
  <c r="AE124" i="5"/>
  <c r="AD124" i="5"/>
  <c r="AE125" i="5"/>
  <c r="AD125" i="5"/>
  <c r="AE11" i="5"/>
  <c r="AD11" i="5"/>
  <c r="AE14" i="5"/>
  <c r="AD14" i="5"/>
  <c r="AE114" i="5"/>
  <c r="AD114" i="5"/>
  <c r="AE59" i="5"/>
  <c r="AD59" i="5"/>
  <c r="AE109" i="5"/>
  <c r="AD109" i="5"/>
  <c r="AE41" i="5"/>
  <c r="AD41" i="5"/>
  <c r="AE141" i="5"/>
  <c r="AD141" i="5"/>
  <c r="AE40" i="5"/>
  <c r="AD40" i="5"/>
  <c r="AE137" i="5"/>
  <c r="AD137" i="5"/>
  <c r="AE39" i="5"/>
  <c r="AD39" i="5"/>
  <c r="AE136" i="5"/>
  <c r="AD136" i="5"/>
  <c r="AE38" i="5"/>
  <c r="AD38" i="5"/>
  <c r="AE135" i="5"/>
  <c r="AD135" i="5"/>
  <c r="AE37" i="5"/>
  <c r="AD37" i="5"/>
  <c r="AE113" i="5"/>
  <c r="AD113" i="5"/>
  <c r="AE18" i="5"/>
  <c r="AD18" i="5"/>
  <c r="AE57" i="5"/>
  <c r="AD57" i="5"/>
  <c r="AE27" i="5"/>
  <c r="AD27" i="5"/>
  <c r="AE107" i="5"/>
  <c r="AD107" i="5"/>
  <c r="AE112" i="5"/>
  <c r="AD112" i="5"/>
  <c r="AE26" i="5"/>
  <c r="AD26" i="5"/>
  <c r="AE21" i="5"/>
  <c r="AD21" i="5"/>
  <c r="AE20" i="5"/>
  <c r="AE55" i="5"/>
  <c r="AD55" i="5"/>
  <c r="AE54" i="5"/>
  <c r="AD54" i="5"/>
  <c r="AE52" i="5"/>
  <c r="AD52" i="5"/>
  <c r="AE16" i="5"/>
  <c r="AD16" i="5"/>
  <c r="AE8" i="5"/>
  <c r="AD8" i="5"/>
  <c r="AE7" i="5"/>
  <c r="AD7" i="5"/>
  <c r="AE78" i="5"/>
  <c r="AD78" i="5"/>
  <c r="AE5" i="5"/>
  <c r="AD5" i="5"/>
  <c r="AE60" i="5"/>
  <c r="AD60" i="5"/>
  <c r="AE51" i="5"/>
  <c r="AD51" i="5"/>
  <c r="AE53" i="5"/>
  <c r="AD53" i="5"/>
  <c r="AE56" i="5"/>
  <c r="AD56" i="5"/>
  <c r="AE30" i="5"/>
  <c r="AD30" i="5"/>
  <c r="AE31" i="5"/>
  <c r="AD31" i="5"/>
  <c r="AE28" i="5"/>
  <c r="AD28" i="5"/>
  <c r="AE22" i="5"/>
  <c r="AD22" i="5"/>
  <c r="AE106" i="5"/>
  <c r="AD106" i="5"/>
  <c r="AE97" i="5"/>
  <c r="AD97" i="5"/>
  <c r="AE96" i="5"/>
  <c r="AD96" i="5"/>
  <c r="AE105" i="5"/>
  <c r="AD105" i="5"/>
  <c r="AE104" i="5"/>
  <c r="AD104" i="5"/>
  <c r="AE140" i="5"/>
  <c r="AD140" i="5"/>
  <c r="AE67" i="5"/>
  <c r="AD67" i="5"/>
  <c r="AE65" i="5"/>
  <c r="AD65" i="5"/>
  <c r="AE118" i="5"/>
  <c r="AD118" i="5"/>
  <c r="AE131" i="5"/>
  <c r="AE94" i="5"/>
  <c r="AD94" i="5"/>
  <c r="AE130" i="5"/>
  <c r="AD130" i="5"/>
  <c r="AE129" i="5"/>
  <c r="AD129" i="5"/>
  <c r="AE76" i="5"/>
  <c r="AD76" i="5"/>
  <c r="AE128" i="5"/>
  <c r="AD128" i="5"/>
  <c r="AE77" i="5"/>
  <c r="AD77" i="5"/>
  <c r="AE19" i="5"/>
  <c r="AD19" i="5"/>
  <c r="AW30" i="15"/>
  <c r="A33" i="15" l="1"/>
  <c r="AN90" i="19" l="1"/>
  <c r="AM90" i="19"/>
  <c r="AL90" i="19"/>
  <c r="AN89" i="19"/>
  <c r="AM89" i="19"/>
  <c r="AL89" i="19"/>
  <c r="AN88" i="19"/>
  <c r="AM88" i="19"/>
  <c r="AL88" i="19"/>
  <c r="AK90" i="19"/>
  <c r="AJ90" i="19"/>
  <c r="AI90" i="19"/>
  <c r="AK89" i="19"/>
  <c r="AJ89" i="19"/>
  <c r="AI89" i="19"/>
  <c r="AN93" i="19"/>
  <c r="AM93" i="19"/>
  <c r="AL93" i="19"/>
  <c r="AK93" i="19"/>
  <c r="AJ93" i="19"/>
  <c r="AI93" i="19"/>
  <c r="AN92" i="19"/>
  <c r="AM92" i="19"/>
  <c r="AL92" i="19"/>
  <c r="AK92" i="19"/>
  <c r="AJ92" i="19"/>
  <c r="AI92" i="19"/>
  <c r="AN91" i="19"/>
  <c r="AM91" i="19"/>
  <c r="AL91" i="19"/>
  <c r="AK91" i="19"/>
  <c r="AJ91" i="19"/>
  <c r="AI91" i="19"/>
  <c r="AN87" i="19"/>
  <c r="AM87" i="19"/>
  <c r="AL87" i="19"/>
  <c r="AK87" i="19"/>
  <c r="AJ87" i="19"/>
  <c r="AI87" i="19"/>
  <c r="AN84" i="19"/>
  <c r="AM84" i="19"/>
  <c r="AL84" i="19"/>
  <c r="AK84" i="19"/>
  <c r="AJ84" i="19"/>
  <c r="AI84" i="19"/>
  <c r="AN82" i="19"/>
  <c r="AM82" i="19"/>
  <c r="AL82" i="19"/>
  <c r="AK82" i="19"/>
  <c r="AJ82" i="19"/>
  <c r="AI82" i="19"/>
  <c r="AN81" i="19"/>
  <c r="AM81" i="19"/>
  <c r="AL81" i="19"/>
  <c r="AK81" i="19"/>
  <c r="AJ81" i="19"/>
  <c r="AI81" i="19"/>
  <c r="AN79" i="19"/>
  <c r="AM79" i="19"/>
  <c r="AL79" i="19"/>
  <c r="AK79" i="19"/>
  <c r="AJ79" i="19"/>
  <c r="AI79" i="19"/>
  <c r="AP85" i="19"/>
  <c r="AO85" i="19"/>
  <c r="AN85" i="19"/>
  <c r="AM85" i="19"/>
  <c r="AL85" i="19"/>
  <c r="AK85" i="19"/>
  <c r="AJ85" i="19"/>
  <c r="AI85" i="19"/>
  <c r="AP83" i="19"/>
  <c r="AO83" i="19"/>
  <c r="AN83" i="19"/>
  <c r="AM83" i="19"/>
  <c r="AL83" i="19"/>
  <c r="AK83" i="19"/>
  <c r="AJ83" i="19"/>
  <c r="AP80" i="19"/>
  <c r="AO80" i="19"/>
  <c r="AN80" i="19"/>
  <c r="AM80" i="19"/>
  <c r="AL80" i="19"/>
  <c r="AK80" i="19"/>
  <c r="AJ80" i="19"/>
  <c r="AI80" i="19"/>
  <c r="AP78" i="19"/>
  <c r="AO78" i="19"/>
  <c r="AN78" i="19"/>
  <c r="AM78" i="19"/>
  <c r="AL78" i="19"/>
  <c r="AK78" i="19"/>
  <c r="AJ78" i="19"/>
  <c r="AI83" i="19"/>
  <c r="AI78" i="19"/>
  <c r="AH93" i="19"/>
  <c r="AG93" i="19"/>
  <c r="AF93" i="19"/>
  <c r="AH92" i="19"/>
  <c r="AG92" i="19"/>
  <c r="AF92" i="19"/>
  <c r="AH91" i="19"/>
  <c r="AG91" i="19"/>
  <c r="AF91" i="19"/>
  <c r="AH85" i="19"/>
  <c r="AG85" i="19"/>
  <c r="AF85" i="19"/>
  <c r="AH84" i="19"/>
  <c r="AG84" i="19"/>
  <c r="AF84" i="19"/>
  <c r="AH83" i="19"/>
  <c r="AG83" i="19"/>
  <c r="AF83" i="19"/>
  <c r="AH82" i="19"/>
  <c r="AG82" i="19"/>
  <c r="AF82" i="19"/>
  <c r="AH81" i="19"/>
  <c r="AG81" i="19"/>
  <c r="AF81" i="19"/>
  <c r="AH80" i="19"/>
  <c r="AG80" i="19"/>
  <c r="AF80" i="19"/>
  <c r="AH79" i="19"/>
  <c r="AG79" i="19"/>
  <c r="AF79" i="19"/>
  <c r="AH78" i="19"/>
  <c r="AG78" i="19"/>
  <c r="AF78" i="19"/>
  <c r="AE93" i="19"/>
  <c r="AD93" i="19"/>
  <c r="AC93" i="19"/>
  <c r="AE92" i="19"/>
  <c r="AD92" i="19"/>
  <c r="AC92" i="19"/>
  <c r="AE91" i="19"/>
  <c r="AD91" i="19"/>
  <c r="AC91" i="19"/>
  <c r="AE88" i="19"/>
  <c r="AD88" i="19"/>
  <c r="AC88" i="19"/>
  <c r="AE85" i="19"/>
  <c r="AD85" i="19"/>
  <c r="AC85" i="19"/>
  <c r="AE84" i="19"/>
  <c r="AD84" i="19"/>
  <c r="AC84" i="19"/>
  <c r="AE83" i="19"/>
  <c r="AD83" i="19"/>
  <c r="AC83" i="19"/>
  <c r="AE82" i="19"/>
  <c r="AD82" i="19"/>
  <c r="AC82" i="19"/>
  <c r="AE81" i="19"/>
  <c r="AD81" i="19"/>
  <c r="AC81" i="19"/>
  <c r="AE80" i="19"/>
  <c r="AD80" i="19"/>
  <c r="AC80" i="19"/>
  <c r="AE79" i="19"/>
  <c r="AD79" i="19"/>
  <c r="AC79" i="19"/>
  <c r="AE78" i="19"/>
  <c r="AD78" i="19"/>
  <c r="AC78" i="19"/>
  <c r="AB92" i="19"/>
  <c r="AA92" i="19"/>
  <c r="Z92" i="19"/>
  <c r="Y92" i="19"/>
  <c r="X92" i="19"/>
  <c r="W92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W83" i="19"/>
  <c r="AB80" i="19"/>
  <c r="AA80" i="19"/>
  <c r="Z80" i="19"/>
  <c r="Y80" i="19"/>
  <c r="AB79" i="19"/>
  <c r="AA79" i="19"/>
  <c r="Z79" i="19"/>
  <c r="Y79" i="19"/>
  <c r="AB78" i="19"/>
  <c r="AA78" i="19"/>
  <c r="Z78" i="19"/>
  <c r="Y78" i="19"/>
  <c r="AB93" i="19"/>
  <c r="AA93" i="19"/>
  <c r="Z93" i="19"/>
  <c r="Y93" i="19"/>
  <c r="X93" i="19"/>
  <c r="W93" i="19"/>
  <c r="AB91" i="19"/>
  <c r="AA91" i="19"/>
  <c r="Z91" i="19"/>
  <c r="Y91" i="19"/>
  <c r="X91" i="19"/>
  <c r="W91" i="19"/>
  <c r="AB90" i="19"/>
  <c r="AA90" i="19"/>
  <c r="Z90" i="19"/>
  <c r="Y90" i="19"/>
  <c r="X90" i="19"/>
  <c r="W90" i="19"/>
  <c r="AB88" i="19"/>
  <c r="AA88" i="19"/>
  <c r="Z88" i="19"/>
  <c r="Y88" i="19"/>
  <c r="X88" i="19"/>
  <c r="W88" i="19"/>
  <c r="AB85" i="19"/>
  <c r="AA85" i="19"/>
  <c r="Z85" i="19"/>
  <c r="Y85" i="19"/>
  <c r="X85" i="19"/>
  <c r="W85" i="19"/>
  <c r="AB84" i="19"/>
  <c r="AA84" i="19"/>
  <c r="Z84" i="19"/>
  <c r="Y84" i="19"/>
  <c r="X84" i="19"/>
  <c r="W84" i="19"/>
  <c r="AB83" i="19"/>
  <c r="AA83" i="19"/>
  <c r="Z83" i="19"/>
  <c r="Y83" i="19"/>
  <c r="X83" i="19"/>
  <c r="AB82" i="19"/>
  <c r="AA82" i="19"/>
  <c r="Z82" i="19"/>
  <c r="Y82" i="19"/>
  <c r="X82" i="19"/>
  <c r="W82" i="19"/>
  <c r="AB81" i="19"/>
  <c r="AA81" i="19"/>
  <c r="Z81" i="19"/>
  <c r="Y81" i="19"/>
  <c r="X81" i="19"/>
  <c r="W81" i="19"/>
  <c r="X79" i="19"/>
  <c r="W79" i="19"/>
  <c r="X78" i="19"/>
  <c r="W78" i="19"/>
  <c r="V85" i="19" l="1"/>
  <c r="U85" i="19"/>
  <c r="V84" i="19"/>
  <c r="U84" i="19"/>
  <c r="V83" i="19"/>
  <c r="U83" i="19"/>
  <c r="V82" i="19"/>
  <c r="U82" i="19"/>
  <c r="X80" i="19"/>
  <c r="W80" i="19"/>
  <c r="V80" i="19"/>
  <c r="U80" i="19"/>
  <c r="BC76" i="19"/>
  <c r="BB76" i="19"/>
  <c r="BC74" i="19"/>
  <c r="BB74" i="19"/>
  <c r="BA74" i="19"/>
  <c r="BC73" i="19"/>
  <c r="BB73" i="19"/>
  <c r="BA73" i="19"/>
  <c r="BC72" i="19"/>
  <c r="BB72" i="19"/>
  <c r="BA72" i="19"/>
  <c r="BC71" i="19"/>
  <c r="BB71" i="19"/>
  <c r="BA71" i="19"/>
  <c r="BC70" i="19"/>
  <c r="BB70" i="19"/>
  <c r="BA70" i="19"/>
  <c r="BA76" i="19"/>
  <c r="BC58" i="19"/>
  <c r="BB58" i="19"/>
  <c r="BA58" i="19"/>
  <c r="BC57" i="19"/>
  <c r="BB57" i="19"/>
  <c r="BA57" i="19"/>
  <c r="BC56" i="19"/>
  <c r="BB56" i="19"/>
  <c r="BA56" i="19"/>
  <c r="BC49" i="19"/>
  <c r="BB49" i="19"/>
  <c r="BB60" i="19"/>
  <c r="BA60" i="19"/>
  <c r="AZ60" i="19"/>
  <c r="BC54" i="19"/>
  <c r="BB54" i="19"/>
  <c r="BA54" i="19"/>
  <c r="AZ54" i="19"/>
  <c r="BC52" i="19"/>
  <c r="BB52" i="19"/>
  <c r="BA52" i="19"/>
  <c r="AZ52" i="19"/>
  <c r="BC55" i="19"/>
  <c r="BB55" i="19"/>
  <c r="BA55" i="19"/>
  <c r="AZ55" i="19"/>
  <c r="AY55" i="19"/>
  <c r="BC50" i="19"/>
  <c r="BB50" i="19"/>
  <c r="BA50" i="19"/>
  <c r="AZ50" i="19"/>
  <c r="AZ76" i="19"/>
  <c r="AY76" i="19"/>
  <c r="AZ74" i="19"/>
  <c r="AY74" i="19"/>
  <c r="AZ73" i="19"/>
  <c r="AY73" i="19"/>
  <c r="AZ72" i="19"/>
  <c r="AY72" i="19"/>
  <c r="AZ71" i="19"/>
  <c r="AY71" i="19"/>
  <c r="AZ70" i="19"/>
  <c r="AY70" i="19"/>
  <c r="AZ58" i="19"/>
  <c r="AY58" i="19"/>
  <c r="AZ57" i="19"/>
  <c r="AY57" i="19"/>
  <c r="AZ56" i="19"/>
  <c r="AY56" i="19"/>
  <c r="BC69" i="19"/>
  <c r="BB69" i="19"/>
  <c r="BA69" i="19"/>
  <c r="AZ69" i="19"/>
  <c r="AY69" i="19"/>
  <c r="BC59" i="19"/>
  <c r="BB59" i="19"/>
  <c r="BA59" i="19"/>
  <c r="AZ59" i="19"/>
  <c r="AY59" i="19"/>
  <c r="BC53" i="19"/>
  <c r="BB53" i="19"/>
  <c r="BA53" i="19"/>
  <c r="AZ53" i="19"/>
  <c r="AY53" i="19"/>
  <c r="BC51" i="19"/>
  <c r="BB51" i="19"/>
  <c r="BA51" i="19"/>
  <c r="AZ51" i="19"/>
  <c r="AY51" i="19"/>
  <c r="AZ61" i="19"/>
  <c r="AY61" i="19"/>
  <c r="AX61" i="19"/>
  <c r="AZ77" i="19"/>
  <c r="AY77" i="19"/>
  <c r="AX77" i="19"/>
  <c r="AW77" i="19"/>
  <c r="AX76" i="19"/>
  <c r="AW76" i="19"/>
  <c r="AX74" i="19"/>
  <c r="AW74" i="19"/>
  <c r="AX73" i="19"/>
  <c r="AW73" i="19"/>
  <c r="AX72" i="19"/>
  <c r="AW72" i="19"/>
  <c r="AX71" i="19"/>
  <c r="AW71" i="19"/>
  <c r="AX70" i="19"/>
  <c r="AW70" i="19"/>
  <c r="AX69" i="19"/>
  <c r="AW69" i="19"/>
  <c r="AZ63" i="19"/>
  <c r="AY63" i="19"/>
  <c r="AX63" i="19"/>
  <c r="AW63" i="19"/>
  <c r="AZ67" i="19"/>
  <c r="AY67" i="19"/>
  <c r="AX67" i="19"/>
  <c r="AW67" i="19"/>
  <c r="AV67" i="19"/>
  <c r="AZ64" i="19"/>
  <c r="AY64" i="19"/>
  <c r="AX64" i="19"/>
  <c r="AW64" i="19"/>
  <c r="AV64" i="19"/>
  <c r="AY60" i="19"/>
  <c r="AX60" i="19"/>
  <c r="AW60" i="19"/>
  <c r="AV60" i="19"/>
  <c r="AU60" i="19"/>
  <c r="AV77" i="19"/>
  <c r="AU77" i="19"/>
  <c r="AV61" i="19"/>
  <c r="AU61" i="19"/>
  <c r="AW55" i="19"/>
  <c r="AV55" i="19"/>
  <c r="AU55" i="19"/>
  <c r="AT55" i="19"/>
  <c r="AS55" i="19"/>
  <c r="AW54" i="19"/>
  <c r="AV54" i="19"/>
  <c r="AU54" i="19"/>
  <c r="AT54" i="19"/>
  <c r="AS54" i="19"/>
  <c r="AW53" i="19"/>
  <c r="AV53" i="19"/>
  <c r="AU53" i="19"/>
  <c r="AT53" i="19"/>
  <c r="AS53" i="19"/>
  <c r="AU76" i="19"/>
  <c r="AT76" i="19"/>
  <c r="AS76" i="19"/>
  <c r="AU69" i="19"/>
  <c r="AT69" i="19"/>
  <c r="AS69" i="19"/>
  <c r="AU59" i="19"/>
  <c r="AT59" i="19"/>
  <c r="AS59" i="19"/>
  <c r="AU58" i="19"/>
  <c r="AT58" i="19"/>
  <c r="AS58" i="19"/>
  <c r="AU51" i="19"/>
  <c r="AT51" i="19"/>
  <c r="AS51" i="19"/>
  <c r="AW57" i="19"/>
  <c r="AV57" i="19"/>
  <c r="AU57" i="19"/>
  <c r="AT57" i="19"/>
  <c r="AW56" i="19"/>
  <c r="AV56" i="19"/>
  <c r="AU56" i="19"/>
  <c r="AT56" i="19"/>
  <c r="AV52" i="19"/>
  <c r="AU52" i="19"/>
  <c r="AT52" i="19"/>
  <c r="AS52" i="19"/>
  <c r="AV50" i="19"/>
  <c r="AU50" i="19"/>
  <c r="AT50" i="19"/>
  <c r="AS50" i="19"/>
  <c r="AS74" i="19"/>
  <c r="AR74" i="19"/>
  <c r="AQ74" i="19"/>
  <c r="AP74" i="19"/>
  <c r="AS73" i="19"/>
  <c r="AR73" i="19"/>
  <c r="AQ73" i="19"/>
  <c r="AP73" i="19"/>
  <c r="AS72" i="19"/>
  <c r="AR72" i="19"/>
  <c r="AQ72" i="19"/>
  <c r="AP72" i="19"/>
  <c r="AS71" i="19"/>
  <c r="AR71" i="19"/>
  <c r="AQ71" i="19"/>
  <c r="AP71" i="19"/>
  <c r="AS70" i="19"/>
  <c r="AR70" i="19"/>
  <c r="AQ70" i="19"/>
  <c r="AP70" i="19"/>
  <c r="AR69" i="19"/>
  <c r="AQ69" i="19"/>
  <c r="AT67" i="19"/>
  <c r="AS67" i="19"/>
  <c r="AR67" i="19"/>
  <c r="AQ67" i="19"/>
  <c r="AP67" i="19"/>
  <c r="AO67" i="19"/>
  <c r="AS64" i="19"/>
  <c r="AR64" i="19"/>
  <c r="AQ64" i="19"/>
  <c r="AP64" i="19"/>
  <c r="AO64" i="19"/>
  <c r="AS63" i="19"/>
  <c r="AR63" i="19"/>
  <c r="AQ63" i="19"/>
  <c r="AP63" i="19"/>
  <c r="AO63" i="19"/>
  <c r="AS65" i="19"/>
  <c r="AR65" i="19"/>
  <c r="AQ65" i="19"/>
  <c r="AP65" i="19"/>
  <c r="AO65" i="19"/>
  <c r="AS61" i="19"/>
  <c r="AR61" i="19"/>
  <c r="AQ61" i="19"/>
  <c r="AP61" i="19"/>
  <c r="AO61" i="19"/>
  <c r="AS60" i="19"/>
  <c r="AR60" i="19"/>
  <c r="AQ60" i="19"/>
  <c r="AR59" i="19"/>
  <c r="AQ59" i="19"/>
  <c r="AR58" i="19"/>
  <c r="AQ58" i="19"/>
  <c r="AR53" i="19"/>
  <c r="AQ53" i="19"/>
  <c r="AR51" i="19"/>
  <c r="AQ51" i="19"/>
  <c r="AR49" i="19"/>
  <c r="AQ49" i="19"/>
  <c r="AO74" i="19"/>
  <c r="AN74" i="19"/>
  <c r="AM74" i="19"/>
  <c r="AL74" i="19"/>
  <c r="AK74" i="19"/>
  <c r="AJ74" i="19"/>
  <c r="AI74" i="19"/>
  <c r="AO73" i="19"/>
  <c r="AN73" i="19"/>
  <c r="AM73" i="19"/>
  <c r="AL73" i="19"/>
  <c r="AK73" i="19"/>
  <c r="AJ73" i="19"/>
  <c r="AI73" i="19"/>
  <c r="AO72" i="19"/>
  <c r="AN72" i="19"/>
  <c r="AM72" i="19"/>
  <c r="AL72" i="19"/>
  <c r="AK72" i="19"/>
  <c r="AJ72" i="19"/>
  <c r="AI72" i="19"/>
  <c r="AO71" i="19"/>
  <c r="AN71" i="19"/>
  <c r="AM71" i="19"/>
  <c r="AL71" i="19"/>
  <c r="AK71" i="19"/>
  <c r="AJ71" i="19"/>
  <c r="AI71" i="19"/>
  <c r="AO70" i="19"/>
  <c r="AN70" i="19"/>
  <c r="AM70" i="19"/>
  <c r="AL70" i="19"/>
  <c r="AK70" i="19"/>
  <c r="AJ70" i="19"/>
  <c r="AI70" i="19"/>
  <c r="AN65" i="19" l="1"/>
  <c r="AM65" i="19"/>
  <c r="AL65" i="19"/>
  <c r="AK65" i="19"/>
  <c r="AJ65" i="19"/>
  <c r="AI65" i="19"/>
  <c r="AN67" i="19"/>
  <c r="AM67" i="19"/>
  <c r="AL67" i="19"/>
  <c r="AK67" i="19"/>
  <c r="AJ67" i="19"/>
  <c r="AI67" i="19"/>
  <c r="AN63" i="19"/>
  <c r="AM63" i="19"/>
  <c r="AL63" i="19"/>
  <c r="AK63" i="19"/>
  <c r="AJ63" i="19"/>
  <c r="AI63" i="19"/>
  <c r="AN61" i="19"/>
  <c r="AM61" i="19"/>
  <c r="AL61" i="19"/>
  <c r="AK61" i="19"/>
  <c r="AJ61" i="19"/>
  <c r="AI61" i="19"/>
  <c r="AH71" i="19"/>
  <c r="AG71" i="19"/>
  <c r="AF71" i="19"/>
  <c r="AH68" i="19"/>
  <c r="AG68" i="19"/>
  <c r="AF68" i="19"/>
  <c r="AH65" i="19"/>
  <c r="AG65" i="19"/>
  <c r="AF65" i="19"/>
  <c r="AH63" i="19"/>
  <c r="AG63" i="19"/>
  <c r="AF63" i="19"/>
  <c r="AH62" i="19"/>
  <c r="AG62" i="19"/>
  <c r="AF62" i="19"/>
  <c r="AH61" i="19"/>
  <c r="AG61" i="19"/>
  <c r="AF61" i="19"/>
  <c r="AE71" i="19"/>
  <c r="AD71" i="19"/>
  <c r="AC71" i="19"/>
  <c r="AE68" i="19"/>
  <c r="AD68" i="19"/>
  <c r="AC68" i="19"/>
  <c r="AE65" i="19"/>
  <c r="AD65" i="19"/>
  <c r="AC65" i="19"/>
  <c r="AE63" i="19"/>
  <c r="AD63" i="19"/>
  <c r="AC63" i="19"/>
  <c r="AE62" i="19"/>
  <c r="AD62" i="19"/>
  <c r="AC62" i="19"/>
  <c r="AE61" i="19"/>
  <c r="AD61" i="19"/>
  <c r="AC61" i="19"/>
  <c r="AH66" i="19" l="1"/>
  <c r="AG66" i="19"/>
  <c r="AF66" i="19"/>
  <c r="AE66" i="19"/>
  <c r="AD66" i="19"/>
  <c r="AC66" i="19"/>
  <c r="AB66" i="19"/>
  <c r="AA66" i="19"/>
  <c r="Z66" i="19"/>
  <c r="Y66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AB71" i="19"/>
  <c r="AA71" i="19"/>
  <c r="Z71" i="19"/>
  <c r="Y71" i="19"/>
  <c r="X71" i="19"/>
  <c r="W71" i="19"/>
  <c r="AB70" i="19"/>
  <c r="AA70" i="19"/>
  <c r="Z70" i="19"/>
  <c r="Y70" i="19"/>
  <c r="AB68" i="19"/>
  <c r="AA68" i="19"/>
  <c r="Z68" i="19"/>
  <c r="Y68" i="19"/>
  <c r="AB65" i="19"/>
  <c r="AA65" i="19"/>
  <c r="Z65" i="19"/>
  <c r="Y65" i="19"/>
  <c r="V67" i="19"/>
  <c r="U67" i="19"/>
  <c r="AB63" i="19"/>
  <c r="AA63" i="19"/>
  <c r="Z63" i="19"/>
  <c r="Y63" i="19"/>
  <c r="X63" i="19"/>
  <c r="W63" i="19"/>
  <c r="AB62" i="19"/>
  <c r="AA62" i="19"/>
  <c r="Z62" i="19"/>
  <c r="Y62" i="19"/>
  <c r="X62" i="19"/>
  <c r="W62" i="19"/>
  <c r="AB61" i="19"/>
  <c r="AA61" i="19"/>
  <c r="Z61" i="19"/>
  <c r="Y61" i="19"/>
  <c r="AB50" i="19"/>
  <c r="AA50" i="19"/>
  <c r="BC48" i="19"/>
  <c r="BB48" i="19"/>
  <c r="BA48" i="19"/>
  <c r="BC46" i="19"/>
  <c r="BB46" i="19"/>
  <c r="BA46" i="19"/>
  <c r="BC45" i="19"/>
  <c r="BB45" i="19"/>
  <c r="BA45" i="19"/>
  <c r="BC40" i="19"/>
  <c r="BB40" i="19"/>
  <c r="BA40" i="19"/>
  <c r="BC39" i="19"/>
  <c r="BB39" i="19"/>
  <c r="BA39" i="19"/>
  <c r="BC34" i="19"/>
  <c r="BB34" i="19"/>
  <c r="BA34" i="19"/>
  <c r="AZ48" i="19"/>
  <c r="AY48" i="19"/>
  <c r="AZ46" i="19"/>
  <c r="AY46" i="19"/>
  <c r="AZ45" i="19"/>
  <c r="AY45" i="19"/>
  <c r="AZ40" i="19"/>
  <c r="AY40" i="19"/>
  <c r="AZ39" i="19"/>
  <c r="AY39" i="19"/>
  <c r="AZ34" i="19"/>
  <c r="AY34" i="19"/>
  <c r="BC44" i="19"/>
  <c r="BB44" i="19"/>
  <c r="BA44" i="19"/>
  <c r="AZ44" i="19"/>
  <c r="AY44" i="19"/>
  <c r="BC43" i="19"/>
  <c r="BB43" i="19"/>
  <c r="BA43" i="19"/>
  <c r="AZ43" i="19"/>
  <c r="AY43" i="19"/>
  <c r="BC42" i="19"/>
  <c r="BB42" i="19"/>
  <c r="BA42" i="19"/>
  <c r="AZ42" i="19"/>
  <c r="AY42" i="19"/>
  <c r="BC41" i="19"/>
  <c r="BB41" i="19"/>
  <c r="BA41" i="19"/>
  <c r="AZ41" i="19"/>
  <c r="AY41" i="19"/>
  <c r="BC38" i="19"/>
  <c r="BB38" i="19"/>
  <c r="BA38" i="19"/>
  <c r="AZ38" i="19"/>
  <c r="AY38" i="19"/>
  <c r="BC37" i="19"/>
  <c r="BB37" i="19"/>
  <c r="BA37" i="19"/>
  <c r="AZ37" i="19"/>
  <c r="AY37" i="19"/>
  <c r="BC36" i="19"/>
  <c r="BB36" i="19"/>
  <c r="BA36" i="19"/>
  <c r="AZ36" i="19"/>
  <c r="AY36" i="19"/>
  <c r="BC35" i="19"/>
  <c r="BB35" i="19"/>
  <c r="BA35" i="19"/>
  <c r="AZ35" i="19"/>
  <c r="AY35" i="19"/>
  <c r="BC33" i="19"/>
  <c r="BB33" i="19"/>
  <c r="BA33" i="19"/>
  <c r="AZ33" i="19"/>
  <c r="AY33" i="19"/>
  <c r="BC30" i="19"/>
  <c r="BB30" i="19"/>
  <c r="BA30" i="19"/>
  <c r="BB27" i="19"/>
  <c r="BA27" i="19"/>
  <c r="BB25" i="19"/>
  <c r="BA25" i="19"/>
  <c r="AZ25" i="19"/>
  <c r="AZ30" i="19"/>
  <c r="AY30" i="19"/>
  <c r="BB22" i="19"/>
  <c r="BA22" i="19"/>
  <c r="AZ22" i="19"/>
  <c r="AY22" i="19"/>
  <c r="BA21" i="19"/>
  <c r="AZ21" i="19"/>
  <c r="BA20" i="19"/>
  <c r="AZ20" i="19"/>
  <c r="BC18" i="19"/>
  <c r="BB18" i="19"/>
  <c r="BA18" i="19"/>
  <c r="AZ18" i="19"/>
  <c r="BA17" i="19"/>
  <c r="AZ17" i="19"/>
  <c r="AY17" i="19"/>
  <c r="BB29" i="19"/>
  <c r="BA29" i="19"/>
  <c r="AZ29" i="19"/>
  <c r="AY29" i="19"/>
  <c r="AZ28" i="19"/>
  <c r="AY28" i="19"/>
  <c r="AX28" i="19"/>
  <c r="AZ27" i="19"/>
  <c r="AY27" i="19"/>
  <c r="AX27" i="19"/>
  <c r="AY25" i="19"/>
  <c r="AX25" i="19"/>
  <c r="BB24" i="19"/>
  <c r="BA24" i="19"/>
  <c r="AZ24" i="19"/>
  <c r="AY24" i="19"/>
  <c r="AX24" i="19"/>
  <c r="BB23" i="19"/>
  <c r="BA23" i="19"/>
  <c r="AZ23" i="19"/>
  <c r="AY23" i="19"/>
  <c r="AX23" i="19"/>
  <c r="AY21" i="19"/>
  <c r="AX21" i="19"/>
  <c r="AW21" i="19"/>
  <c r="AY20" i="19"/>
  <c r="AX20" i="19"/>
  <c r="AW20" i="19"/>
  <c r="AX19" i="19"/>
  <c r="AW19" i="19"/>
  <c r="AX46" i="19"/>
  <c r="AW46" i="19"/>
  <c r="AX48" i="19"/>
  <c r="AW48" i="19"/>
  <c r="AV48" i="19"/>
  <c r="AU48" i="19"/>
  <c r="AT48" i="19"/>
  <c r="AX45" i="19"/>
  <c r="AW45" i="19"/>
  <c r="AV45" i="19"/>
  <c r="AU45" i="19"/>
  <c r="AT45" i="19"/>
  <c r="AX40" i="19"/>
  <c r="AW40" i="19"/>
  <c r="AV40" i="19"/>
  <c r="AU40" i="19"/>
  <c r="AT40" i="19"/>
  <c r="AX39" i="19"/>
  <c r="AW39" i="19"/>
  <c r="AV39" i="19"/>
  <c r="AU39" i="19"/>
  <c r="AT39" i="19"/>
  <c r="AW34" i="19"/>
  <c r="AV34" i="19"/>
  <c r="AU34" i="19"/>
  <c r="AT34" i="19"/>
  <c r="AW27" i="19"/>
  <c r="AV27" i="19"/>
  <c r="AU27" i="19"/>
  <c r="AT27" i="19"/>
  <c r="AW26" i="19"/>
  <c r="AV26" i="19"/>
  <c r="AU26" i="19"/>
  <c r="AT26" i="19"/>
  <c r="AW25" i="19"/>
  <c r="AV25" i="19"/>
  <c r="AU25" i="19"/>
  <c r="AT25" i="19"/>
  <c r="AW22" i="19"/>
  <c r="AV22" i="19"/>
  <c r="AU22" i="19"/>
  <c r="AT22" i="19"/>
  <c r="AX44" i="19"/>
  <c r="AW44" i="19"/>
  <c r="AV44" i="19"/>
  <c r="AU44" i="19"/>
  <c r="AT44" i="19"/>
  <c r="AS44" i="19"/>
  <c r="AX43" i="19"/>
  <c r="AW43" i="19"/>
  <c r="AV43" i="19"/>
  <c r="AU43" i="19"/>
  <c r="AT43" i="19"/>
  <c r="AS43" i="19"/>
  <c r="AX42" i="19"/>
  <c r="AW42" i="19"/>
  <c r="AV42" i="19"/>
  <c r="AU42" i="19"/>
  <c r="AT42" i="19"/>
  <c r="AS42" i="19"/>
  <c r="AX41" i="19"/>
  <c r="AW41" i="19"/>
  <c r="AV41" i="19"/>
  <c r="AU41" i="19"/>
  <c r="AT41" i="19"/>
  <c r="AS41" i="19"/>
  <c r="AX38" i="19"/>
  <c r="AW38" i="19"/>
  <c r="AV38" i="19"/>
  <c r="AU38" i="19"/>
  <c r="AT38" i="19"/>
  <c r="AS38" i="19"/>
  <c r="AX37" i="19"/>
  <c r="AW37" i="19"/>
  <c r="AV37" i="19"/>
  <c r="AU37" i="19"/>
  <c r="AT37" i="19"/>
  <c r="AS37" i="19"/>
  <c r="AX36" i="19"/>
  <c r="AW36" i="19"/>
  <c r="AV36" i="19"/>
  <c r="AU36" i="19"/>
  <c r="AT36" i="19"/>
  <c r="AS36" i="19"/>
  <c r="AW35" i="19"/>
  <c r="AV35" i="19"/>
  <c r="AU35" i="19"/>
  <c r="AT35" i="19"/>
  <c r="AS35" i="19"/>
  <c r="AW30" i="19"/>
  <c r="AV30" i="19"/>
  <c r="AU30" i="19"/>
  <c r="AT30" i="19"/>
  <c r="AS30" i="19"/>
  <c r="AW33" i="19"/>
  <c r="AV33" i="19"/>
  <c r="AU33" i="19"/>
  <c r="AT33" i="19"/>
  <c r="AS33" i="19"/>
  <c r="AR33" i="19"/>
  <c r="AW31" i="19"/>
  <c r="AV31" i="19"/>
  <c r="AU31" i="19"/>
  <c r="AT31" i="19"/>
  <c r="AS31" i="19"/>
  <c r="AR31" i="19"/>
  <c r="AW29" i="19"/>
  <c r="AV29" i="19"/>
  <c r="AU29" i="19"/>
  <c r="AT29" i="19"/>
  <c r="AS29" i="19"/>
  <c r="AR29" i="19"/>
  <c r="AW28" i="19"/>
  <c r="AV28" i="19"/>
  <c r="AU28" i="19"/>
  <c r="AT28" i="19"/>
  <c r="AS28" i="19"/>
  <c r="AR28" i="19"/>
  <c r="AW24" i="19"/>
  <c r="AV24" i="19"/>
  <c r="AU24" i="19"/>
  <c r="AT24" i="19"/>
  <c r="AS24" i="19"/>
  <c r="AR24" i="19"/>
  <c r="AW23" i="19"/>
  <c r="AV23" i="19"/>
  <c r="AU23" i="19"/>
  <c r="AT23" i="19"/>
  <c r="AS23" i="19"/>
  <c r="AR23" i="19"/>
  <c r="AS46" i="19"/>
  <c r="AR46" i="19"/>
  <c r="AQ46" i="19"/>
  <c r="AP46" i="19"/>
  <c r="AR48" i="19"/>
  <c r="AQ48" i="19"/>
  <c r="AP48" i="19"/>
  <c r="AR45" i="19"/>
  <c r="AQ45" i="19"/>
  <c r="AP45" i="19"/>
  <c r="AR44" i="19"/>
  <c r="AQ44" i="19"/>
  <c r="AP44" i="19"/>
  <c r="AR43" i="19"/>
  <c r="AQ43" i="19"/>
  <c r="AP43" i="19"/>
  <c r="AR42" i="19"/>
  <c r="AQ42" i="19"/>
  <c r="AP42" i="19"/>
  <c r="AR41" i="19"/>
  <c r="AQ41" i="19"/>
  <c r="AP41" i="19"/>
  <c r="AR40" i="19"/>
  <c r="AQ40" i="19"/>
  <c r="AP40" i="19"/>
  <c r="AR39" i="19"/>
  <c r="AQ39" i="19"/>
  <c r="AP39" i="19"/>
  <c r="AR38" i="19"/>
  <c r="AQ38" i="19"/>
  <c r="AP38" i="19"/>
  <c r="AR37" i="19"/>
  <c r="AQ37" i="19"/>
  <c r="AP37" i="19"/>
  <c r="AR36" i="19"/>
  <c r="AQ36" i="19"/>
  <c r="AP36" i="19"/>
  <c r="AQ35" i="19" l="1"/>
  <c r="AP35" i="19"/>
  <c r="AQ33" i="19"/>
  <c r="AP33" i="19"/>
  <c r="AO33" i="19"/>
  <c r="AQ31" i="19"/>
  <c r="AP31" i="19"/>
  <c r="AO31" i="19"/>
  <c r="AQ28" i="19"/>
  <c r="AP28" i="19"/>
  <c r="AO28" i="19"/>
  <c r="AQ30" i="19"/>
  <c r="AP30" i="19"/>
  <c r="AQ29" i="19"/>
  <c r="AP29" i="19"/>
  <c r="AQ24" i="19"/>
  <c r="AP24" i="19"/>
  <c r="AQ23" i="19"/>
  <c r="AP23" i="19"/>
  <c r="AQ21" i="19"/>
  <c r="AP21" i="19"/>
  <c r="AQ20" i="19"/>
  <c r="AP20" i="19"/>
  <c r="AQ19" i="19"/>
  <c r="AP19" i="19"/>
  <c r="AQ17" i="19"/>
  <c r="AP17" i="19"/>
  <c r="AN38" i="19"/>
  <c r="AM38" i="19"/>
  <c r="AL38" i="19"/>
  <c r="AN37" i="19"/>
  <c r="AM37" i="19"/>
  <c r="AL37" i="19"/>
  <c r="AN35" i="19"/>
  <c r="AM35" i="19"/>
  <c r="AL35" i="19"/>
  <c r="AN30" i="19"/>
  <c r="AM30" i="19"/>
  <c r="AL30" i="19"/>
  <c r="AN36" i="19"/>
  <c r="AM36" i="19"/>
  <c r="AN33" i="19"/>
  <c r="AM33" i="19"/>
  <c r="AN31" i="19"/>
  <c r="AM31" i="19"/>
  <c r="AN28" i="19"/>
  <c r="AM28" i="19"/>
  <c r="AN24" i="19"/>
  <c r="AM24" i="19"/>
  <c r="AN23" i="19"/>
  <c r="AM23" i="19"/>
  <c r="AO48" i="19"/>
  <c r="AN48" i="19"/>
  <c r="AM48" i="19"/>
  <c r="AL48" i="19"/>
  <c r="AK48" i="19"/>
  <c r="AJ48" i="19"/>
  <c r="AI48" i="19"/>
  <c r="AO46" i="19"/>
  <c r="AN46" i="19"/>
  <c r="AM46" i="19"/>
  <c r="AL46" i="19"/>
  <c r="AK46" i="19"/>
  <c r="AJ46" i="19"/>
  <c r="AI46" i="19"/>
  <c r="AO45" i="19"/>
  <c r="AN45" i="19"/>
  <c r="AM45" i="19"/>
  <c r="AL45" i="19"/>
  <c r="AK45" i="19"/>
  <c r="AJ45" i="19"/>
  <c r="AI45" i="19"/>
  <c r="AO44" i="19"/>
  <c r="AN44" i="19"/>
  <c r="AM44" i="19"/>
  <c r="AL44" i="19"/>
  <c r="AK44" i="19"/>
  <c r="AJ44" i="19"/>
  <c r="AI44" i="19"/>
  <c r="AO43" i="19"/>
  <c r="AN43" i="19"/>
  <c r="AM43" i="19"/>
  <c r="AL43" i="19"/>
  <c r="AK43" i="19"/>
  <c r="AJ43" i="19"/>
  <c r="AI43" i="19"/>
  <c r="AO42" i="19"/>
  <c r="AN42" i="19"/>
  <c r="AM42" i="19"/>
  <c r="AL42" i="19"/>
  <c r="AK42" i="19"/>
  <c r="AJ42" i="19"/>
  <c r="AI42" i="19"/>
  <c r="AO41" i="19"/>
  <c r="AN41" i="19"/>
  <c r="AM41" i="19"/>
  <c r="AL41" i="19"/>
  <c r="AK41" i="19"/>
  <c r="AJ41" i="19"/>
  <c r="AI41" i="19"/>
  <c r="AO40" i="19"/>
  <c r="AN40" i="19"/>
  <c r="AM40" i="19"/>
  <c r="AL40" i="19"/>
  <c r="AK40" i="19"/>
  <c r="AJ40" i="19"/>
  <c r="AI40" i="19"/>
  <c r="AO39" i="19"/>
  <c r="AN39" i="19"/>
  <c r="AM39" i="19"/>
  <c r="AL39" i="19"/>
  <c r="AK39" i="19"/>
  <c r="AJ39" i="19"/>
  <c r="AI39" i="19"/>
  <c r="AJ36" i="19"/>
  <c r="AI36" i="19"/>
  <c r="AK38" i="19"/>
  <c r="AJ38" i="19"/>
  <c r="AI38" i="19"/>
  <c r="AK37" i="19"/>
  <c r="AJ37" i="19"/>
  <c r="AI37" i="19"/>
  <c r="AK35" i="19"/>
  <c r="AJ35" i="19"/>
  <c r="AI35" i="19"/>
  <c r="AK30" i="19"/>
  <c r="AJ30" i="19"/>
  <c r="AI30" i="19"/>
  <c r="AH45" i="19"/>
  <c r="AG45" i="19"/>
  <c r="AF45" i="19"/>
  <c r="AH44" i="19"/>
  <c r="AG44" i="19"/>
  <c r="AF44" i="19"/>
  <c r="AH43" i="19"/>
  <c r="AG43" i="19"/>
  <c r="AF43" i="19"/>
  <c r="AH42" i="19"/>
  <c r="AG42" i="19"/>
  <c r="AF42" i="19"/>
  <c r="AH41" i="19"/>
  <c r="AG41" i="19"/>
  <c r="AF41" i="19"/>
  <c r="AH40" i="19"/>
  <c r="AG40" i="19"/>
  <c r="AF40" i="19"/>
  <c r="AH39" i="19"/>
  <c r="AG39" i="19"/>
  <c r="AF39" i="19"/>
  <c r="AH38" i="19"/>
  <c r="AG38" i="19"/>
  <c r="AF38" i="19"/>
  <c r="AH37" i="19"/>
  <c r="AG37" i="19"/>
  <c r="AF37" i="19"/>
  <c r="AH35" i="19"/>
  <c r="AG35" i="19"/>
  <c r="AF35" i="19"/>
  <c r="AH30" i="19"/>
  <c r="AG30" i="19"/>
  <c r="AF30" i="19"/>
  <c r="AE45" i="19"/>
  <c r="AD45" i="19"/>
  <c r="AC45" i="19"/>
  <c r="AE44" i="19"/>
  <c r="AD44" i="19"/>
  <c r="AC44" i="19"/>
  <c r="AE43" i="19"/>
  <c r="AD43" i="19"/>
  <c r="AC43" i="19"/>
  <c r="AE42" i="19"/>
  <c r="AD42" i="19"/>
  <c r="AC42" i="19"/>
  <c r="AE41" i="19"/>
  <c r="AD41" i="19"/>
  <c r="AC41" i="19"/>
  <c r="AE40" i="19"/>
  <c r="AD40" i="19"/>
  <c r="AC40" i="19"/>
  <c r="AE39" i="19"/>
  <c r="AD39" i="19"/>
  <c r="AC39" i="19"/>
  <c r="AE38" i="19"/>
  <c r="AD38" i="19"/>
  <c r="AC38" i="19"/>
  <c r="AE37" i="19"/>
  <c r="AD37" i="19"/>
  <c r="AC37" i="19"/>
  <c r="AE35" i="19"/>
  <c r="AD35" i="19"/>
  <c r="AC35" i="19"/>
  <c r="AE30" i="19"/>
  <c r="AD30" i="19"/>
  <c r="AC30" i="19"/>
  <c r="BB15" i="19"/>
  <c r="BB7" i="19"/>
  <c r="BB6" i="19"/>
  <c r="BB5" i="19"/>
  <c r="BA12" i="19"/>
  <c r="BA7" i="19"/>
  <c r="BA6" i="19"/>
  <c r="BA5" i="19"/>
  <c r="AZ12" i="19"/>
  <c r="AZ7" i="19"/>
  <c r="AZ6" i="19"/>
  <c r="AZ5" i="19"/>
  <c r="BB13" i="19"/>
  <c r="BA13" i="19"/>
  <c r="AZ13" i="19"/>
  <c r="AY13" i="19"/>
  <c r="AX13" i="19"/>
  <c r="AW13" i="19"/>
  <c r="AY15" i="19"/>
  <c r="AX15" i="19"/>
  <c r="AW15" i="19"/>
  <c r="AV15" i="19"/>
  <c r="AU15" i="19"/>
  <c r="AY10" i="19"/>
  <c r="AX10" i="19"/>
  <c r="AW10" i="19"/>
  <c r="AV10" i="19"/>
  <c r="AU10" i="19"/>
  <c r="AY9" i="19"/>
  <c r="AX9" i="19"/>
  <c r="AW9" i="19"/>
  <c r="AV9" i="19"/>
  <c r="AU9" i="19"/>
  <c r="AY14" i="19"/>
  <c r="AX14" i="19"/>
  <c r="AY12" i="19"/>
  <c r="AX12" i="19"/>
  <c r="AY11" i="19"/>
  <c r="AX11" i="19"/>
  <c r="AY8" i="19"/>
  <c r="AX8" i="19"/>
  <c r="AY7" i="19"/>
  <c r="AX7" i="19"/>
  <c r="AY6" i="19"/>
  <c r="AX6" i="19"/>
  <c r="AY5" i="19"/>
  <c r="AX5" i="19"/>
  <c r="AW14" i="19"/>
  <c r="AW12" i="19"/>
  <c r="AW11" i="19"/>
  <c r="AW8" i="19"/>
  <c r="AW7" i="19"/>
  <c r="AW6" i="19"/>
  <c r="AW5" i="19"/>
  <c r="AV13" i="19"/>
  <c r="AU13" i="19"/>
  <c r="AT13" i="19"/>
  <c r="AS13" i="19"/>
  <c r="AR13" i="19"/>
  <c r="AQ13" i="19"/>
  <c r="AT15" i="19"/>
  <c r="AS15" i="19"/>
  <c r="AR15" i="19"/>
  <c r="AT12" i="19"/>
  <c r="AS12" i="19"/>
  <c r="AR12" i="19"/>
  <c r="AT11" i="19"/>
  <c r="AS11" i="19"/>
  <c r="AR11" i="19"/>
  <c r="AT10" i="19"/>
  <c r="AS10" i="19"/>
  <c r="AR10" i="19"/>
  <c r="AQ15" i="19"/>
  <c r="AQ12" i="19"/>
  <c r="AQ11" i="19"/>
  <c r="AQ10" i="19"/>
  <c r="AU7" i="19"/>
  <c r="AT7" i="19"/>
  <c r="AS7" i="19"/>
  <c r="AR7" i="19"/>
  <c r="AQ7" i="19"/>
  <c r="AS16" i="19"/>
  <c r="AR16" i="19"/>
  <c r="AS9" i="19"/>
  <c r="AR9" i="19"/>
  <c r="AS8" i="19"/>
  <c r="AR8" i="19"/>
  <c r="AS6" i="19"/>
  <c r="AR6" i="19"/>
  <c r="AS5" i="19"/>
  <c r="AR5" i="19"/>
  <c r="AQ16" i="19"/>
  <c r="AQ9" i="19"/>
  <c r="AQ8" i="19"/>
  <c r="AQ6" i="19"/>
  <c r="AQ5" i="19"/>
  <c r="AP15" i="19"/>
  <c r="AO15" i="19"/>
  <c r="AN15" i="19"/>
  <c r="AM15" i="19"/>
  <c r="AL15" i="19"/>
  <c r="AK15" i="19"/>
  <c r="AJ15" i="19"/>
  <c r="AP14" i="19"/>
  <c r="AO14" i="19"/>
  <c r="AN14" i="19"/>
  <c r="AM14" i="19"/>
  <c r="AL14" i="19"/>
  <c r="AK14" i="19"/>
  <c r="AJ14" i="19"/>
  <c r="AP13" i="19"/>
  <c r="AO13" i="19"/>
  <c r="AN13" i="19"/>
  <c r="AM13" i="19"/>
  <c r="AL13" i="19"/>
  <c r="AK13" i="19"/>
  <c r="AJ13" i="19"/>
  <c r="AP12" i="19"/>
  <c r="AO12" i="19"/>
  <c r="AN12" i="19"/>
  <c r="AM12" i="19"/>
  <c r="AL12" i="19"/>
  <c r="AK12" i="19"/>
  <c r="AJ12" i="19"/>
  <c r="AP11" i="19"/>
  <c r="AO11" i="19"/>
  <c r="AN11" i="19"/>
  <c r="AM11" i="19"/>
  <c r="AL11" i="19"/>
  <c r="AK11" i="19"/>
  <c r="AJ11" i="19"/>
  <c r="AI15" i="19"/>
  <c r="AI14" i="19"/>
  <c r="AI13" i="19"/>
  <c r="AI12" i="19"/>
  <c r="AI11" i="19"/>
  <c r="AO7" i="19"/>
  <c r="AN7" i="19"/>
  <c r="AM7" i="19"/>
  <c r="AL7" i="19"/>
  <c r="AK7" i="19"/>
  <c r="AJ7" i="19"/>
  <c r="AI7" i="19"/>
  <c r="AH14" i="19"/>
  <c r="AG14" i="19"/>
  <c r="AH13" i="19"/>
  <c r="AG13" i="19"/>
  <c r="AH12" i="19"/>
  <c r="AG12" i="19"/>
  <c r="AH11" i="19"/>
  <c r="AG11" i="19"/>
  <c r="AF14" i="19"/>
  <c r="AF13" i="19"/>
  <c r="AF12" i="19"/>
  <c r="AF11" i="19"/>
  <c r="AE14" i="19"/>
  <c r="AD14" i="19"/>
  <c r="AE13" i="19"/>
  <c r="AD13" i="19"/>
  <c r="AE12" i="19"/>
  <c r="AD12" i="19"/>
  <c r="AE11" i="19"/>
  <c r="AD11" i="19"/>
  <c r="AC14" i="19"/>
  <c r="AC13" i="19"/>
  <c r="AC12" i="19"/>
  <c r="AC11" i="19"/>
  <c r="Z50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6" i="19"/>
  <c r="AA36" i="19"/>
  <c r="Z36" i="19"/>
  <c r="Y41" i="19"/>
  <c r="Y40" i="19"/>
  <c r="Y39" i="19"/>
  <c r="Y38" i="19"/>
  <c r="Y36" i="19"/>
  <c r="AB45" i="19"/>
  <c r="AA45" i="19"/>
  <c r="Z45" i="19"/>
  <c r="Y45" i="19"/>
  <c r="X45" i="19"/>
  <c r="AB42" i="19"/>
  <c r="AA42" i="19"/>
  <c r="Z42" i="19"/>
  <c r="Y42" i="19"/>
  <c r="X42" i="19"/>
  <c r="AB33" i="19"/>
  <c r="AA33" i="19"/>
  <c r="Z33" i="19"/>
  <c r="Y33" i="19"/>
  <c r="X33" i="19"/>
  <c r="W45" i="19"/>
  <c r="W42" i="19"/>
  <c r="W33" i="19"/>
  <c r="AB31" i="19"/>
  <c r="AA31" i="19"/>
  <c r="Z31" i="19"/>
  <c r="AB30" i="19"/>
  <c r="AA30" i="19"/>
  <c r="Z30" i="19"/>
  <c r="AB28" i="19"/>
  <c r="AA28" i="19"/>
  <c r="Z28" i="19"/>
  <c r="Y31" i="19"/>
  <c r="Y30" i="19"/>
  <c r="Y28" i="19"/>
  <c r="AB24" i="19"/>
  <c r="AA24" i="19"/>
  <c r="Z24" i="19"/>
  <c r="Y24" i="19"/>
  <c r="X24" i="19"/>
  <c r="AB23" i="19"/>
  <c r="AA23" i="19"/>
  <c r="Z23" i="19"/>
  <c r="Y23" i="19"/>
  <c r="X23" i="19"/>
  <c r="W24" i="19"/>
  <c r="W23" i="19"/>
  <c r="AB13" i="19"/>
  <c r="AA13" i="19"/>
  <c r="Z13" i="19"/>
  <c r="Y13" i="19"/>
  <c r="X13" i="19"/>
  <c r="W13" i="19"/>
  <c r="V13" i="19"/>
  <c r="U13" i="19"/>
  <c r="AB14" i="19"/>
  <c r="AA14" i="19"/>
  <c r="Z14" i="19"/>
  <c r="AB12" i="19"/>
  <c r="AA12" i="19"/>
  <c r="Z12" i="19"/>
  <c r="AB11" i="19"/>
  <c r="AA11" i="19"/>
  <c r="Z11" i="19"/>
  <c r="Y14" i="19"/>
  <c r="Y12" i="19"/>
  <c r="Y11" i="19"/>
  <c r="X12" i="19"/>
  <c r="W12" i="19"/>
  <c r="V12" i="19"/>
  <c r="U12" i="19"/>
  <c r="AH7" i="19"/>
  <c r="AG7" i="19"/>
  <c r="AF7" i="19"/>
  <c r="AE7" i="19"/>
  <c r="AD7" i="19"/>
  <c r="AC7" i="19"/>
  <c r="AB7" i="19"/>
  <c r="AA7" i="19"/>
  <c r="Z7" i="19"/>
  <c r="AB5" i="19"/>
  <c r="AA5" i="19"/>
  <c r="Z5" i="19"/>
  <c r="AB74" i="19"/>
  <c r="AG74" i="19"/>
  <c r="AF74" i="19"/>
  <c r="AE74" i="19"/>
  <c r="AD74" i="19"/>
  <c r="AC74" i="19"/>
  <c r="AH74" i="19"/>
  <c r="AA74" i="19"/>
  <c r="Z74" i="19"/>
  <c r="Y74" i="19"/>
  <c r="X74" i="19"/>
  <c r="W74" i="19"/>
  <c r="V74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4" i="19"/>
  <c r="U73" i="19"/>
  <c r="U72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V42" i="19"/>
  <c r="V32" i="19"/>
  <c r="V29" i="19"/>
  <c r="U42" i="19"/>
  <c r="U32" i="19"/>
  <c r="U29" i="19"/>
  <c r="T145" i="19"/>
  <c r="T143" i="19"/>
  <c r="S145" i="19"/>
  <c r="S143" i="19"/>
  <c r="T136" i="19"/>
  <c r="T135" i="19"/>
  <c r="T133" i="19"/>
  <c r="T132" i="19"/>
  <c r="S136" i="19"/>
  <c r="S135" i="19"/>
  <c r="S133" i="19"/>
  <c r="S132" i="19"/>
  <c r="T121" i="19"/>
  <c r="T120" i="19"/>
  <c r="T119" i="19"/>
  <c r="T118" i="19"/>
  <c r="T117" i="19"/>
  <c r="T116" i="19"/>
  <c r="S121" i="19"/>
  <c r="S120" i="19"/>
  <c r="S119" i="19"/>
  <c r="S118" i="19"/>
  <c r="S117" i="19"/>
  <c r="S116" i="19"/>
  <c r="T105" i="19"/>
  <c r="T104" i="19"/>
  <c r="T103" i="19"/>
  <c r="T102" i="19"/>
  <c r="T101" i="19"/>
  <c r="S105" i="19"/>
  <c r="S104" i="19"/>
  <c r="S103" i="19"/>
  <c r="S102" i="19"/>
  <c r="S101" i="19"/>
  <c r="T99" i="19"/>
  <c r="T98" i="19"/>
  <c r="T97" i="19"/>
  <c r="T96" i="19"/>
  <c r="T95" i="19"/>
  <c r="S99" i="19"/>
  <c r="S98" i="19"/>
  <c r="S97" i="19"/>
  <c r="S96" i="19"/>
  <c r="S95" i="19"/>
  <c r="T85" i="19"/>
  <c r="T84" i="19"/>
  <c r="T83" i="19"/>
  <c r="T82" i="19"/>
  <c r="T80" i="19"/>
  <c r="S85" i="19"/>
  <c r="S84" i="19"/>
  <c r="S83" i="19"/>
  <c r="S82" i="19"/>
  <c r="S80" i="19"/>
  <c r="T13" i="19"/>
  <c r="T12" i="19"/>
  <c r="S13" i="19"/>
  <c r="S12" i="19"/>
  <c r="P23" i="19"/>
  <c r="O23" i="19"/>
  <c r="N23" i="19"/>
  <c r="P145" i="19"/>
  <c r="O145" i="19"/>
  <c r="N145" i="19"/>
  <c r="O139" i="19"/>
  <c r="N139" i="19"/>
  <c r="O127" i="19"/>
  <c r="O126" i="19"/>
  <c r="O125" i="19"/>
  <c r="O124" i="19"/>
  <c r="N127" i="19"/>
  <c r="N126" i="19"/>
  <c r="N125" i="19"/>
  <c r="N124" i="19"/>
  <c r="O116" i="19"/>
  <c r="O119" i="19"/>
  <c r="N119" i="19"/>
  <c r="N116" i="19"/>
  <c r="P114" i="19"/>
  <c r="O114" i="19"/>
  <c r="P107" i="19"/>
  <c r="P106" i="19"/>
  <c r="O107" i="19"/>
  <c r="O106" i="19"/>
  <c r="P100" i="19"/>
  <c r="O100" i="19"/>
  <c r="P99" i="19"/>
  <c r="O99" i="19"/>
  <c r="P98" i="19"/>
  <c r="O98" i="19"/>
  <c r="N100" i="19"/>
  <c r="N99" i="19"/>
  <c r="N98" i="19"/>
  <c r="O93" i="19"/>
  <c r="O92" i="19"/>
  <c r="O91" i="19"/>
  <c r="O88" i="19"/>
  <c r="O87" i="19"/>
  <c r="O85" i="19"/>
  <c r="N93" i="19"/>
  <c r="N92" i="19"/>
  <c r="N91" i="19"/>
  <c r="N88" i="19"/>
  <c r="N87" i="19"/>
  <c r="N85" i="19"/>
  <c r="P80" i="19"/>
  <c r="O80" i="19"/>
  <c r="N80" i="19"/>
  <c r="P79" i="19"/>
  <c r="O79" i="19"/>
  <c r="P65" i="19"/>
  <c r="P68" i="19"/>
  <c r="O68" i="19"/>
  <c r="O65" i="19"/>
  <c r="P60" i="19"/>
  <c r="P58" i="19"/>
  <c r="P57" i="19"/>
  <c r="O44" i="19"/>
  <c r="P50" i="19"/>
  <c r="O60" i="19"/>
  <c r="O58" i="19"/>
  <c r="O57" i="19"/>
  <c r="O50" i="19"/>
  <c r="P44" i="19"/>
  <c r="P43" i="19"/>
  <c r="P42" i="19"/>
  <c r="P41" i="19"/>
  <c r="P36" i="19"/>
  <c r="P34" i="19"/>
  <c r="P33" i="19"/>
  <c r="P32" i="19"/>
  <c r="P30" i="19"/>
  <c r="P29" i="19"/>
  <c r="O43" i="19"/>
  <c r="O42" i="19"/>
  <c r="O41" i="19"/>
  <c r="O36" i="19"/>
  <c r="O34" i="19"/>
  <c r="O33" i="19"/>
  <c r="O32" i="19"/>
  <c r="O30" i="19"/>
  <c r="O29" i="19"/>
  <c r="M113" i="19"/>
  <c r="M112" i="19"/>
  <c r="M111" i="19"/>
  <c r="L113" i="19"/>
  <c r="L112" i="19"/>
  <c r="L111" i="19"/>
  <c r="M49" i="19"/>
  <c r="L49" i="19"/>
  <c r="M33" i="19"/>
  <c r="L33" i="19"/>
  <c r="M26" i="19"/>
  <c r="L26" i="19"/>
  <c r="M25" i="19"/>
  <c r="L25" i="19"/>
  <c r="M21" i="19"/>
  <c r="M19" i="19"/>
  <c r="M20" i="19"/>
  <c r="L21" i="19"/>
  <c r="L20" i="19"/>
  <c r="L19" i="19"/>
  <c r="P11" i="19"/>
  <c r="P12" i="19"/>
  <c r="P14" i="19"/>
  <c r="O14" i="19"/>
  <c r="O12" i="19"/>
  <c r="N12" i="19"/>
  <c r="P10" i="19"/>
  <c r="O10" i="19"/>
  <c r="O11" i="19"/>
  <c r="BC151" i="19" l="1"/>
  <c r="BB151" i="19"/>
  <c r="BA151" i="19"/>
  <c r="AZ151" i="19"/>
  <c r="AY151" i="19"/>
  <c r="BC150" i="19"/>
  <c r="BB150" i="19"/>
  <c r="BA150" i="19"/>
  <c r="AZ150" i="19"/>
  <c r="AY150" i="19"/>
  <c r="BB152" i="19" l="1"/>
  <c r="BA152" i="19"/>
  <c r="BC152" i="19"/>
  <c r="AZ152" i="19"/>
  <c r="AY152" i="19"/>
  <c r="BC151" i="6" l="1"/>
  <c r="BB151" i="6"/>
  <c r="BA151" i="6"/>
  <c r="AZ151" i="6"/>
  <c r="AY151" i="6"/>
  <c r="AY150" i="6"/>
  <c r="BC150" i="6"/>
  <c r="BB150" i="6"/>
  <c r="BA150" i="6"/>
  <c r="AZ150" i="6"/>
  <c r="BB152" i="6" l="1"/>
  <c r="BC152" i="6"/>
  <c r="AZ152" i="6"/>
  <c r="BA152" i="6"/>
  <c r="AY152" i="6"/>
  <c r="K147" i="18"/>
  <c r="D5" i="15"/>
  <c r="B2" i="5" l="1"/>
  <c r="D27" i="15"/>
  <c r="D26" i="15"/>
  <c r="D25" i="15"/>
  <c r="D24" i="15"/>
  <c r="D23" i="15"/>
  <c r="D21" i="15"/>
  <c r="D20" i="15"/>
  <c r="D19" i="15"/>
  <c r="D18" i="15"/>
  <c r="D17" i="15"/>
  <c r="D15" i="15"/>
  <c r="D14" i="15"/>
  <c r="D13" i="15"/>
  <c r="D12" i="15"/>
  <c r="D11" i="15"/>
  <c r="D9" i="15"/>
  <c r="D8" i="15"/>
  <c r="D7" i="15"/>
  <c r="D6" i="15"/>
  <c r="C2" i="5" l="1"/>
  <c r="D2" i="5" s="1"/>
  <c r="E2" i="5" s="1"/>
  <c r="F2" i="5" s="1"/>
  <c r="G2" i="5" s="1"/>
  <c r="H2" i="5" s="1"/>
  <c r="I2" i="5" s="1"/>
  <c r="J2" i="5" s="1"/>
  <c r="K2" i="5" s="1"/>
  <c r="L2" i="5" s="1"/>
  <c r="M2" i="5" s="1"/>
  <c r="N2" i="5" s="1"/>
  <c r="F31" i="15"/>
  <c r="G31" i="15" s="1"/>
  <c r="G33" i="15"/>
  <c r="O2" i="5" l="1"/>
  <c r="H31" i="15"/>
  <c r="AX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44" i="15"/>
  <c r="A38" i="15"/>
  <c r="A32" i="15"/>
  <c r="B55" i="15"/>
  <c r="A55" i="15"/>
  <c r="B54" i="15"/>
  <c r="A54" i="15"/>
  <c r="B53" i="15"/>
  <c r="A53" i="15"/>
  <c r="B52" i="15"/>
  <c r="A52" i="15"/>
  <c r="B51" i="15"/>
  <c r="A51" i="15"/>
  <c r="A50" i="15"/>
  <c r="B37" i="15"/>
  <c r="A37" i="15"/>
  <c r="B36" i="15"/>
  <c r="A36" i="15"/>
  <c r="B35" i="15"/>
  <c r="A35" i="15"/>
  <c r="B34" i="15"/>
  <c r="A34" i="15"/>
  <c r="B33" i="15"/>
  <c r="B43" i="15"/>
  <c r="A43" i="15"/>
  <c r="B42" i="15"/>
  <c r="A42" i="15"/>
  <c r="B41" i="15"/>
  <c r="A41" i="15"/>
  <c r="B40" i="15"/>
  <c r="A40" i="15"/>
  <c r="B39" i="15"/>
  <c r="A39" i="15"/>
  <c r="B49" i="15"/>
  <c r="A49" i="15"/>
  <c r="B48" i="15"/>
  <c r="A48" i="15"/>
  <c r="B47" i="15"/>
  <c r="A47" i="15"/>
  <c r="B46" i="15"/>
  <c r="A46" i="15"/>
  <c r="B45" i="15"/>
  <c r="A45" i="15"/>
  <c r="BA47" i="15"/>
  <c r="BA46" i="15"/>
  <c r="BA35" i="15"/>
  <c r="H33" i="15"/>
  <c r="BM85" i="6"/>
  <c r="BA7" i="15" l="1"/>
  <c r="P2" i="5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I31" i="15"/>
  <c r="I35" i="15"/>
  <c r="G34" i="15"/>
  <c r="G35" i="15"/>
  <c r="BE138" i="6"/>
  <c r="AF2" i="5" l="1"/>
  <c r="AG2" i="5"/>
  <c r="J31" i="15"/>
  <c r="AQ136" i="9"/>
  <c r="AM136" i="9"/>
  <c r="AQ135" i="9"/>
  <c r="AM135" i="9"/>
  <c r="AQ134" i="9"/>
  <c r="AM134" i="9"/>
  <c r="AQ133" i="9"/>
  <c r="AM133" i="9"/>
  <c r="AQ132" i="9"/>
  <c r="AM132" i="9"/>
  <c r="AQ131" i="9"/>
  <c r="AM131" i="9"/>
  <c r="AQ130" i="9"/>
  <c r="AM130" i="9"/>
  <c r="AQ129" i="9"/>
  <c r="AM129" i="9"/>
  <c r="AQ128" i="9"/>
  <c r="AM128" i="9"/>
  <c r="AQ127" i="9"/>
  <c r="AM127" i="9"/>
  <c r="AQ126" i="9"/>
  <c r="AM126" i="9"/>
  <c r="AQ125" i="9"/>
  <c r="AM125" i="9"/>
  <c r="AQ123" i="9"/>
  <c r="AM123" i="9"/>
  <c r="AQ122" i="9"/>
  <c r="AM122" i="9"/>
  <c r="AQ121" i="9"/>
  <c r="AM121" i="9"/>
  <c r="AQ120" i="9"/>
  <c r="AM120" i="9"/>
  <c r="AQ119" i="9"/>
  <c r="AM119" i="9"/>
  <c r="AQ118" i="9"/>
  <c r="AM118" i="9"/>
  <c r="AQ117" i="9"/>
  <c r="AM117" i="9"/>
  <c r="AQ116" i="9"/>
  <c r="AM116" i="9"/>
  <c r="AQ115" i="9"/>
  <c r="AM115" i="9"/>
  <c r="AQ114" i="9"/>
  <c r="AM114" i="9"/>
  <c r="AQ113" i="9"/>
  <c r="AM113" i="9"/>
  <c r="AQ112" i="9"/>
  <c r="AM112" i="9"/>
  <c r="AQ111" i="9"/>
  <c r="AM111" i="9"/>
  <c r="AQ110" i="9"/>
  <c r="AM110" i="9"/>
  <c r="AQ109" i="9"/>
  <c r="AM109" i="9"/>
  <c r="AQ108" i="9"/>
  <c r="AM108" i="9"/>
  <c r="AQ107" i="9"/>
  <c r="AM107" i="9"/>
  <c r="AQ106" i="9"/>
  <c r="AM106" i="9"/>
  <c r="AQ105" i="9"/>
  <c r="AM105" i="9"/>
  <c r="AQ104" i="9"/>
  <c r="AM104" i="9"/>
  <c r="AQ103" i="9"/>
  <c r="AM103" i="9"/>
  <c r="AQ102" i="9"/>
  <c r="AM102" i="9"/>
  <c r="AQ101" i="9"/>
  <c r="AM101" i="9"/>
  <c r="AQ100" i="9"/>
  <c r="AM100" i="9"/>
  <c r="AQ98" i="9"/>
  <c r="AM98" i="9"/>
  <c r="AQ97" i="9"/>
  <c r="AM97" i="9"/>
  <c r="AQ96" i="9"/>
  <c r="AM96" i="9"/>
  <c r="AQ95" i="9"/>
  <c r="AM95" i="9"/>
  <c r="AQ94" i="9"/>
  <c r="AM94" i="9"/>
  <c r="AQ93" i="9"/>
  <c r="AM93" i="9"/>
  <c r="AQ92" i="9"/>
  <c r="AM92" i="9"/>
  <c r="AQ91" i="9"/>
  <c r="AM91" i="9"/>
  <c r="AQ90" i="9"/>
  <c r="AM90" i="9"/>
  <c r="AQ89" i="9"/>
  <c r="AM89" i="9"/>
  <c r="AQ88" i="9"/>
  <c r="AM88" i="9"/>
  <c r="AQ86" i="9"/>
  <c r="AM86" i="9"/>
  <c r="AM85" i="9"/>
  <c r="AQ84" i="9"/>
  <c r="AM84" i="9"/>
  <c r="AQ82" i="9"/>
  <c r="AM82" i="9"/>
  <c r="AQ81" i="9"/>
  <c r="AM81" i="9"/>
  <c r="AQ80" i="9"/>
  <c r="AM80" i="9"/>
  <c r="AQ79" i="9"/>
  <c r="AM79" i="9"/>
  <c r="AQ78" i="9"/>
  <c r="AM78" i="9"/>
  <c r="AQ77" i="9"/>
  <c r="AM77" i="9"/>
  <c r="AQ76" i="9"/>
  <c r="AM76" i="9"/>
  <c r="AQ75" i="9"/>
  <c r="AM75" i="9"/>
  <c r="AQ73" i="9"/>
  <c r="AM73" i="9"/>
  <c r="AQ72" i="9"/>
  <c r="AM72" i="9"/>
  <c r="AQ71" i="9"/>
  <c r="AM71" i="9"/>
  <c r="AQ70" i="9"/>
  <c r="AM70" i="9"/>
  <c r="AQ68" i="9"/>
  <c r="AM68" i="9"/>
  <c r="AQ67" i="9"/>
  <c r="AM67" i="9"/>
  <c r="AQ66" i="9"/>
  <c r="AM66" i="9"/>
  <c r="AQ65" i="9"/>
  <c r="AM65" i="9"/>
  <c r="AQ64" i="9"/>
  <c r="AM64" i="9"/>
  <c r="AQ62" i="9"/>
  <c r="AM62" i="9"/>
  <c r="AQ61" i="9"/>
  <c r="AM61" i="9"/>
  <c r="AQ60" i="9"/>
  <c r="AM60" i="9"/>
  <c r="AQ59" i="9"/>
  <c r="AM59" i="9"/>
  <c r="AQ58" i="9"/>
  <c r="AM58" i="9"/>
  <c r="AQ57" i="9"/>
  <c r="AM57" i="9"/>
  <c r="AQ56" i="9"/>
  <c r="AM56" i="9"/>
  <c r="AQ55" i="9"/>
  <c r="AM55" i="9"/>
  <c r="AQ54" i="9"/>
  <c r="AM54" i="9"/>
  <c r="AQ53" i="9"/>
  <c r="AM53" i="9"/>
  <c r="AQ52" i="9"/>
  <c r="AM52" i="9"/>
  <c r="AQ51" i="9"/>
  <c r="AM51" i="9"/>
  <c r="AQ50" i="9"/>
  <c r="AM50" i="9"/>
  <c r="AQ49" i="9"/>
  <c r="AM49" i="9"/>
  <c r="AQ48" i="9"/>
  <c r="AM48" i="9"/>
  <c r="AQ47" i="9"/>
  <c r="AM47" i="9"/>
  <c r="AQ45" i="9"/>
  <c r="AM45" i="9"/>
  <c r="AQ44" i="9"/>
  <c r="AM44" i="9"/>
  <c r="AQ43" i="9"/>
  <c r="AM43" i="9"/>
  <c r="AQ42" i="9"/>
  <c r="AM42" i="9"/>
  <c r="AQ41" i="9"/>
  <c r="AM41" i="9"/>
  <c r="AQ40" i="9"/>
  <c r="AM40" i="9"/>
  <c r="AQ39" i="9"/>
  <c r="AM39" i="9"/>
  <c r="AQ38" i="9"/>
  <c r="AM38" i="9"/>
  <c r="AQ37" i="9"/>
  <c r="AM37" i="9"/>
  <c r="AQ36" i="9"/>
  <c r="AM36" i="9"/>
  <c r="AQ35" i="9"/>
  <c r="AM35" i="9"/>
  <c r="AQ34" i="9"/>
  <c r="AM34" i="9"/>
  <c r="AQ33" i="9"/>
  <c r="AM33" i="9"/>
  <c r="AQ32" i="9"/>
  <c r="AM32" i="9"/>
  <c r="AQ30" i="9"/>
  <c r="AM30" i="9"/>
  <c r="AQ29" i="9"/>
  <c r="AM29" i="9"/>
  <c r="AQ27" i="9"/>
  <c r="AM27" i="9"/>
  <c r="AQ26" i="9"/>
  <c r="AM26" i="9"/>
  <c r="AQ25" i="9"/>
  <c r="AM25" i="9"/>
  <c r="AQ24" i="9"/>
  <c r="AM24" i="9"/>
  <c r="AQ23" i="9"/>
  <c r="AM23" i="9"/>
  <c r="AQ22" i="9"/>
  <c r="AM22" i="9"/>
  <c r="AQ21" i="9"/>
  <c r="AM21" i="9"/>
  <c r="AQ20" i="9"/>
  <c r="AM20" i="9"/>
  <c r="AQ19" i="9"/>
  <c r="AM19" i="9"/>
  <c r="AQ18" i="9"/>
  <c r="AM18" i="9"/>
  <c r="AQ17" i="9"/>
  <c r="AM17" i="9"/>
  <c r="AQ16" i="9"/>
  <c r="AM16" i="9"/>
  <c r="AQ15" i="9"/>
  <c r="AM15" i="9"/>
  <c r="AQ13" i="9"/>
  <c r="AM13" i="9"/>
  <c r="AQ12" i="9"/>
  <c r="AM12" i="9"/>
  <c r="AQ11" i="9"/>
  <c r="AM11" i="9"/>
  <c r="AQ10" i="9"/>
  <c r="AM10" i="9"/>
  <c r="AQ9" i="9"/>
  <c r="AM9" i="9"/>
  <c r="AQ8" i="9"/>
  <c r="AM8" i="9"/>
  <c r="AQ7" i="9"/>
  <c r="AM7" i="9"/>
  <c r="AQ6" i="9"/>
  <c r="AM6" i="9"/>
  <c r="AQ5" i="9"/>
  <c r="AM5" i="9"/>
  <c r="AQ4" i="9"/>
  <c r="AM4" i="9"/>
  <c r="C137" i="8"/>
  <c r="B137" i="8"/>
  <c r="AV136" i="8"/>
  <c r="AU136" i="8"/>
  <c r="AT136" i="8"/>
  <c r="AS136" i="8"/>
  <c r="AR136" i="8"/>
  <c r="AP136" i="8"/>
  <c r="AL136" i="8"/>
  <c r="AV135" i="8"/>
  <c r="AU135" i="8"/>
  <c r="AT135" i="8"/>
  <c r="AS135" i="8"/>
  <c r="AR135" i="8"/>
  <c r="AP135" i="8"/>
  <c r="AL135" i="8"/>
  <c r="AV134" i="8"/>
  <c r="AU134" i="8"/>
  <c r="AT134" i="8"/>
  <c r="AS134" i="8"/>
  <c r="AR134" i="8"/>
  <c r="AV133" i="8"/>
  <c r="AU133" i="8"/>
  <c r="AT133" i="8"/>
  <c r="AS133" i="8"/>
  <c r="AR133" i="8"/>
  <c r="AP133" i="8"/>
  <c r="AL133" i="8"/>
  <c r="AV132" i="8"/>
  <c r="AU132" i="8"/>
  <c r="AT132" i="8"/>
  <c r="AS132" i="8"/>
  <c r="AR132" i="8"/>
  <c r="AP132" i="8"/>
  <c r="AL132" i="8"/>
  <c r="AV131" i="8"/>
  <c r="AU131" i="8"/>
  <c r="AT131" i="8"/>
  <c r="AS131" i="8"/>
  <c r="AR131" i="8"/>
  <c r="AP131" i="8"/>
  <c r="AL131" i="8"/>
  <c r="AV130" i="8"/>
  <c r="AU130" i="8"/>
  <c r="AT130" i="8"/>
  <c r="AS130" i="8"/>
  <c r="AR130" i="8"/>
  <c r="AP130" i="8"/>
  <c r="AL130" i="8"/>
  <c r="AV129" i="8"/>
  <c r="AU129" i="8"/>
  <c r="AT129" i="8"/>
  <c r="AS129" i="8"/>
  <c r="AR129" i="8"/>
  <c r="AP129" i="8"/>
  <c r="AL129" i="8"/>
  <c r="AV128" i="8"/>
  <c r="AU128" i="8"/>
  <c r="AT128" i="8"/>
  <c r="AS128" i="8"/>
  <c r="AR128" i="8"/>
  <c r="AP128" i="8"/>
  <c r="AL128" i="8"/>
  <c r="AV127" i="8"/>
  <c r="AU127" i="8"/>
  <c r="AT127" i="8"/>
  <c r="AS127" i="8"/>
  <c r="AR127" i="8"/>
  <c r="AP127" i="8"/>
  <c r="AL127" i="8"/>
  <c r="AV126" i="8"/>
  <c r="AU126" i="8"/>
  <c r="AT126" i="8"/>
  <c r="AS126" i="8"/>
  <c r="AR126" i="8"/>
  <c r="AP126" i="8"/>
  <c r="AL126" i="8"/>
  <c r="AV125" i="8"/>
  <c r="AU125" i="8"/>
  <c r="AT125" i="8"/>
  <c r="AS125" i="8"/>
  <c r="AR125" i="8"/>
  <c r="AP125" i="8"/>
  <c r="AL125" i="8"/>
  <c r="AV124" i="8"/>
  <c r="AU124" i="8"/>
  <c r="AT124" i="8"/>
  <c r="AS124" i="8"/>
  <c r="AR124" i="8"/>
  <c r="AV123" i="8"/>
  <c r="AU123" i="8"/>
  <c r="AT123" i="8"/>
  <c r="AS123" i="8"/>
  <c r="AR123" i="8"/>
  <c r="AP123" i="8"/>
  <c r="AL123" i="8"/>
  <c r="AV122" i="8"/>
  <c r="AU122" i="8"/>
  <c r="AT122" i="8"/>
  <c r="AS122" i="8"/>
  <c r="AR122" i="8"/>
  <c r="AP122" i="8"/>
  <c r="AL122" i="8"/>
  <c r="AV121" i="8"/>
  <c r="AU121" i="8"/>
  <c r="AT121" i="8"/>
  <c r="AS121" i="8"/>
  <c r="AR121" i="8"/>
  <c r="AP121" i="8"/>
  <c r="AL121" i="8"/>
  <c r="AV120" i="8"/>
  <c r="AU120" i="8"/>
  <c r="AT120" i="8"/>
  <c r="AS120" i="8"/>
  <c r="AR120" i="8"/>
  <c r="AP120" i="8"/>
  <c r="AL120" i="8"/>
  <c r="AV119" i="8"/>
  <c r="AU119" i="8"/>
  <c r="AT119" i="8"/>
  <c r="AS119" i="8"/>
  <c r="AR119" i="8"/>
  <c r="AP119" i="8"/>
  <c r="AL119" i="8"/>
  <c r="AV118" i="8"/>
  <c r="AU118" i="8"/>
  <c r="AT118" i="8"/>
  <c r="AS118" i="8"/>
  <c r="AR118" i="8"/>
  <c r="AP118" i="8"/>
  <c r="AL118" i="8"/>
  <c r="AV117" i="8"/>
  <c r="AU117" i="8"/>
  <c r="AT117" i="8"/>
  <c r="AS117" i="8"/>
  <c r="AR117" i="8"/>
  <c r="AP117" i="8"/>
  <c r="AL117" i="8"/>
  <c r="AV116" i="8"/>
  <c r="AU116" i="8"/>
  <c r="AT116" i="8"/>
  <c r="AS116" i="8"/>
  <c r="AR116" i="8"/>
  <c r="AP116" i="8"/>
  <c r="AL116" i="8"/>
  <c r="AV115" i="8"/>
  <c r="AU115" i="8"/>
  <c r="AT115" i="8"/>
  <c r="AS115" i="8"/>
  <c r="AR115" i="8"/>
  <c r="AP115" i="8"/>
  <c r="AL115" i="8"/>
  <c r="AV114" i="8"/>
  <c r="AU114" i="8"/>
  <c r="AT114" i="8"/>
  <c r="AS114" i="8"/>
  <c r="AR114" i="8"/>
  <c r="AP114" i="8"/>
  <c r="AL114" i="8"/>
  <c r="AV113" i="8"/>
  <c r="AU113" i="8"/>
  <c r="AT113" i="8"/>
  <c r="AS113" i="8"/>
  <c r="AR113" i="8"/>
  <c r="AP113" i="8"/>
  <c r="AL113" i="8"/>
  <c r="AV112" i="8"/>
  <c r="AU112" i="8"/>
  <c r="AT112" i="8"/>
  <c r="AS112" i="8"/>
  <c r="AR112" i="8"/>
  <c r="AP112" i="8"/>
  <c r="AL112" i="8"/>
  <c r="AV111" i="8"/>
  <c r="AU111" i="8"/>
  <c r="AT111" i="8"/>
  <c r="AS111" i="8"/>
  <c r="AR111" i="8"/>
  <c r="AP111" i="8"/>
  <c r="AL111" i="8"/>
  <c r="AV110" i="8"/>
  <c r="AU110" i="8"/>
  <c r="AT110" i="8"/>
  <c r="AS110" i="8"/>
  <c r="AR110" i="8"/>
  <c r="AP110" i="8"/>
  <c r="AL110" i="8"/>
  <c r="AV109" i="8"/>
  <c r="AU109" i="8"/>
  <c r="AT109" i="8"/>
  <c r="AS109" i="8"/>
  <c r="AR109" i="8"/>
  <c r="AP109" i="8"/>
  <c r="AL109" i="8"/>
  <c r="AV108" i="8"/>
  <c r="AU108" i="8"/>
  <c r="AT108" i="8"/>
  <c r="AS108" i="8"/>
  <c r="AR108" i="8"/>
  <c r="AP108" i="8"/>
  <c r="AL108" i="8"/>
  <c r="AV107" i="8"/>
  <c r="AU107" i="8"/>
  <c r="AT107" i="8"/>
  <c r="AS107" i="8"/>
  <c r="AR107" i="8"/>
  <c r="AP107" i="8"/>
  <c r="AL107" i="8"/>
  <c r="AV106" i="8"/>
  <c r="AU106" i="8"/>
  <c r="AT106" i="8"/>
  <c r="AS106" i="8"/>
  <c r="AR106" i="8"/>
  <c r="AP106" i="8"/>
  <c r="AL106" i="8"/>
  <c r="AV105" i="8"/>
  <c r="AU105" i="8"/>
  <c r="AT105" i="8"/>
  <c r="AS105" i="8"/>
  <c r="AR105" i="8"/>
  <c r="AP105" i="8"/>
  <c r="AL105" i="8"/>
  <c r="AV104" i="8"/>
  <c r="AU104" i="8"/>
  <c r="AT104" i="8"/>
  <c r="AS104" i="8"/>
  <c r="AR104" i="8"/>
  <c r="AP104" i="8"/>
  <c r="AL104" i="8"/>
  <c r="AV103" i="8"/>
  <c r="AU103" i="8"/>
  <c r="AT103" i="8"/>
  <c r="AS103" i="8"/>
  <c r="AR103" i="8"/>
  <c r="AP103" i="8"/>
  <c r="AL103" i="8"/>
  <c r="AV102" i="8"/>
  <c r="AU102" i="8"/>
  <c r="AT102" i="8"/>
  <c r="AS102" i="8"/>
  <c r="AR102" i="8"/>
  <c r="AP102" i="8"/>
  <c r="AL102" i="8"/>
  <c r="AV101" i="8"/>
  <c r="AU101" i="8"/>
  <c r="AT101" i="8"/>
  <c r="AS101" i="8"/>
  <c r="AR101" i="8"/>
  <c r="AP101" i="8"/>
  <c r="AL101" i="8"/>
  <c r="AV100" i="8"/>
  <c r="AU100" i="8"/>
  <c r="AT100" i="8"/>
  <c r="AS100" i="8"/>
  <c r="AR100" i="8"/>
  <c r="AP100" i="8"/>
  <c r="AL100" i="8"/>
  <c r="AV99" i="8"/>
  <c r="AU99" i="8"/>
  <c r="AT99" i="8"/>
  <c r="AS99" i="8"/>
  <c r="AR99" i="8"/>
  <c r="AV98" i="8"/>
  <c r="AU98" i="8"/>
  <c r="AT98" i="8"/>
  <c r="AS98" i="8"/>
  <c r="AR98" i="8"/>
  <c r="AP98" i="8"/>
  <c r="AL98" i="8"/>
  <c r="AV97" i="8"/>
  <c r="AU97" i="8"/>
  <c r="AT97" i="8"/>
  <c r="AS97" i="8"/>
  <c r="AR97" i="8"/>
  <c r="AP97" i="8"/>
  <c r="AL97" i="8"/>
  <c r="AV96" i="8"/>
  <c r="AU96" i="8"/>
  <c r="AT96" i="8"/>
  <c r="AS96" i="8"/>
  <c r="AR96" i="8"/>
  <c r="AP96" i="8"/>
  <c r="AL96" i="8"/>
  <c r="AV95" i="8"/>
  <c r="AU95" i="8"/>
  <c r="AT95" i="8"/>
  <c r="AS95" i="8"/>
  <c r="AR95" i="8"/>
  <c r="AP95" i="8"/>
  <c r="AL95" i="8"/>
  <c r="AV94" i="8"/>
  <c r="AU94" i="8"/>
  <c r="AT94" i="8"/>
  <c r="AS94" i="8"/>
  <c r="AR94" i="8"/>
  <c r="AP94" i="8"/>
  <c r="AL94" i="8"/>
  <c r="AV93" i="8"/>
  <c r="AU93" i="8"/>
  <c r="AT93" i="8"/>
  <c r="AS93" i="8"/>
  <c r="AR93" i="8"/>
  <c r="AP93" i="8"/>
  <c r="AL93" i="8"/>
  <c r="AV92" i="8"/>
  <c r="AU92" i="8"/>
  <c r="AT92" i="8"/>
  <c r="AS92" i="8"/>
  <c r="AR92" i="8"/>
  <c r="AP92" i="8"/>
  <c r="AL92" i="8"/>
  <c r="AV91" i="8"/>
  <c r="AU91" i="8"/>
  <c r="AT91" i="8"/>
  <c r="AS91" i="8"/>
  <c r="AR91" i="8"/>
  <c r="AP91" i="8"/>
  <c r="AL91" i="8"/>
  <c r="AV90" i="8"/>
  <c r="AU90" i="8"/>
  <c r="AT90" i="8"/>
  <c r="AS90" i="8"/>
  <c r="AR90" i="8"/>
  <c r="AP90" i="8"/>
  <c r="AL90" i="8"/>
  <c r="AV89" i="8"/>
  <c r="AU89" i="8"/>
  <c r="AT89" i="8"/>
  <c r="AS89" i="8"/>
  <c r="AR89" i="8"/>
  <c r="AP89" i="8"/>
  <c r="AL89" i="8"/>
  <c r="AV88" i="8"/>
  <c r="AU88" i="8"/>
  <c r="AT88" i="8"/>
  <c r="AS88" i="8"/>
  <c r="AR88" i="8"/>
  <c r="AP88" i="8"/>
  <c r="AL88" i="8"/>
  <c r="AV87" i="8"/>
  <c r="AU87" i="8"/>
  <c r="AT87" i="8"/>
  <c r="AS87" i="8"/>
  <c r="AR87" i="8"/>
  <c r="AV86" i="8"/>
  <c r="AU86" i="8"/>
  <c r="AT86" i="8"/>
  <c r="AS86" i="8"/>
  <c r="AR86" i="8"/>
  <c r="AP86" i="8"/>
  <c r="AL86" i="8"/>
  <c r="AV85" i="8"/>
  <c r="AU85" i="8"/>
  <c r="AT85" i="8"/>
  <c r="AS85" i="8"/>
  <c r="AR85" i="8"/>
  <c r="AL85" i="8"/>
  <c r="AV84" i="8"/>
  <c r="AU84" i="8"/>
  <c r="AT84" i="8"/>
  <c r="AS84" i="8"/>
  <c r="AR84" i="8"/>
  <c r="AP84" i="8"/>
  <c r="AL84" i="8"/>
  <c r="AV83" i="8"/>
  <c r="AU83" i="8"/>
  <c r="AT83" i="8"/>
  <c r="AS83" i="8"/>
  <c r="AR83" i="8"/>
  <c r="AV82" i="8"/>
  <c r="AU82" i="8"/>
  <c r="AT82" i="8"/>
  <c r="AS82" i="8"/>
  <c r="AR82" i="8"/>
  <c r="AP82" i="8"/>
  <c r="AL82" i="8"/>
  <c r="AV81" i="8"/>
  <c r="AU81" i="8"/>
  <c r="AT81" i="8"/>
  <c r="AS81" i="8"/>
  <c r="AR81" i="8"/>
  <c r="AP81" i="8"/>
  <c r="AL81" i="8"/>
  <c r="AV80" i="8"/>
  <c r="AU80" i="8"/>
  <c r="AT80" i="8"/>
  <c r="AS80" i="8"/>
  <c r="AR80" i="8"/>
  <c r="AP80" i="8"/>
  <c r="AL80" i="8"/>
  <c r="AV79" i="8"/>
  <c r="AU79" i="8"/>
  <c r="AT79" i="8"/>
  <c r="AS79" i="8"/>
  <c r="AR79" i="8"/>
  <c r="AP79" i="8"/>
  <c r="AL79" i="8"/>
  <c r="AV78" i="8"/>
  <c r="AU78" i="8"/>
  <c r="AT78" i="8"/>
  <c r="AS78" i="8"/>
  <c r="AR78" i="8"/>
  <c r="AP78" i="8"/>
  <c r="AL78" i="8"/>
  <c r="AV77" i="8"/>
  <c r="AU77" i="8"/>
  <c r="AT77" i="8"/>
  <c r="AS77" i="8"/>
  <c r="AR77" i="8"/>
  <c r="AP77" i="8"/>
  <c r="AL77" i="8"/>
  <c r="AV76" i="8"/>
  <c r="AU76" i="8"/>
  <c r="AT76" i="8"/>
  <c r="AS76" i="8"/>
  <c r="AR76" i="8"/>
  <c r="AP76" i="8"/>
  <c r="AL76" i="8"/>
  <c r="AV75" i="8"/>
  <c r="AU75" i="8"/>
  <c r="AT75" i="8"/>
  <c r="AS75" i="8"/>
  <c r="AR75" i="8"/>
  <c r="AP75" i="8"/>
  <c r="AL75" i="8"/>
  <c r="AV74" i="8"/>
  <c r="AU74" i="8"/>
  <c r="AT74" i="8"/>
  <c r="AS74" i="8"/>
  <c r="AR74" i="8"/>
  <c r="AV73" i="8"/>
  <c r="AU73" i="8"/>
  <c r="AT73" i="8"/>
  <c r="AS73" i="8"/>
  <c r="AR73" i="8"/>
  <c r="AP73" i="8"/>
  <c r="AL73" i="8"/>
  <c r="AV72" i="8"/>
  <c r="AU72" i="8"/>
  <c r="AT72" i="8"/>
  <c r="AS72" i="8"/>
  <c r="AR72" i="8"/>
  <c r="AP72" i="8"/>
  <c r="AL72" i="8"/>
  <c r="AV71" i="8"/>
  <c r="AU71" i="8"/>
  <c r="AT71" i="8"/>
  <c r="AS71" i="8"/>
  <c r="AR71" i="8"/>
  <c r="AP71" i="8"/>
  <c r="AL71" i="8"/>
  <c r="AV70" i="8"/>
  <c r="AU70" i="8"/>
  <c r="AT70" i="8"/>
  <c r="AS70" i="8"/>
  <c r="AR70" i="8"/>
  <c r="AP70" i="8"/>
  <c r="AL70" i="8"/>
  <c r="AV69" i="8"/>
  <c r="AU69" i="8"/>
  <c r="AT69" i="8"/>
  <c r="AS69" i="8"/>
  <c r="AR69" i="8"/>
  <c r="AV68" i="8"/>
  <c r="AU68" i="8"/>
  <c r="AT68" i="8"/>
  <c r="AS68" i="8"/>
  <c r="AR68" i="8"/>
  <c r="AP68" i="8"/>
  <c r="AL68" i="8"/>
  <c r="AV67" i="8"/>
  <c r="AU67" i="8"/>
  <c r="AT67" i="8"/>
  <c r="AS67" i="8"/>
  <c r="AR67" i="8"/>
  <c r="AP67" i="8"/>
  <c r="AL67" i="8"/>
  <c r="AV66" i="8"/>
  <c r="AU66" i="8"/>
  <c r="AT66" i="8"/>
  <c r="AS66" i="8"/>
  <c r="AR66" i="8"/>
  <c r="AP66" i="8"/>
  <c r="AL66" i="8"/>
  <c r="AV65" i="8"/>
  <c r="AU65" i="8"/>
  <c r="AT65" i="8"/>
  <c r="AS65" i="8"/>
  <c r="AR65" i="8"/>
  <c r="AP65" i="8"/>
  <c r="AL65" i="8"/>
  <c r="AV64" i="8"/>
  <c r="AU64" i="8"/>
  <c r="AT64" i="8"/>
  <c r="AS64" i="8"/>
  <c r="AR64" i="8"/>
  <c r="AP64" i="8"/>
  <c r="AL64" i="8"/>
  <c r="AV63" i="8"/>
  <c r="AU63" i="8"/>
  <c r="AT63" i="8"/>
  <c r="AS63" i="8"/>
  <c r="AR63" i="8"/>
  <c r="AV62" i="8"/>
  <c r="AU62" i="8"/>
  <c r="AT62" i="8"/>
  <c r="AS62" i="8"/>
  <c r="AR62" i="8"/>
  <c r="AP62" i="8"/>
  <c r="AL62" i="8"/>
  <c r="AV61" i="8"/>
  <c r="AU61" i="8"/>
  <c r="AT61" i="8"/>
  <c r="AS61" i="8"/>
  <c r="AR61" i="8"/>
  <c r="AP61" i="8"/>
  <c r="AL61" i="8"/>
  <c r="AV60" i="8"/>
  <c r="AU60" i="8"/>
  <c r="AT60" i="8"/>
  <c r="AS60" i="8"/>
  <c r="AR60" i="8"/>
  <c r="AP60" i="8"/>
  <c r="AL60" i="8"/>
  <c r="AV59" i="8"/>
  <c r="AU59" i="8"/>
  <c r="AT59" i="8"/>
  <c r="AS59" i="8"/>
  <c r="AR59" i="8"/>
  <c r="AP59" i="8"/>
  <c r="AL59" i="8"/>
  <c r="AV58" i="8"/>
  <c r="AU58" i="8"/>
  <c r="AT58" i="8"/>
  <c r="AS58" i="8"/>
  <c r="AR58" i="8"/>
  <c r="AP58" i="8"/>
  <c r="AL58" i="8"/>
  <c r="AV57" i="8"/>
  <c r="AU57" i="8"/>
  <c r="AT57" i="8"/>
  <c r="AS57" i="8"/>
  <c r="AR57" i="8"/>
  <c r="AP57" i="8"/>
  <c r="AL57" i="8"/>
  <c r="AV56" i="8"/>
  <c r="AU56" i="8"/>
  <c r="AT56" i="8"/>
  <c r="AS56" i="8"/>
  <c r="AR56" i="8"/>
  <c r="AP56" i="8"/>
  <c r="AL56" i="8"/>
  <c r="AV55" i="8"/>
  <c r="AU55" i="8"/>
  <c r="AT55" i="8"/>
  <c r="AS55" i="8"/>
  <c r="AR55" i="8"/>
  <c r="AP55" i="8"/>
  <c r="AL55" i="8"/>
  <c r="AV54" i="8"/>
  <c r="AU54" i="8"/>
  <c r="AT54" i="8"/>
  <c r="AS54" i="8"/>
  <c r="AR54" i="8"/>
  <c r="AP54" i="8"/>
  <c r="AL54" i="8"/>
  <c r="AV53" i="8"/>
  <c r="AU53" i="8"/>
  <c r="AT53" i="8"/>
  <c r="AS53" i="8"/>
  <c r="AR53" i="8"/>
  <c r="AP53" i="8"/>
  <c r="AL53" i="8"/>
  <c r="AV52" i="8"/>
  <c r="AU52" i="8"/>
  <c r="AT52" i="8"/>
  <c r="AS52" i="8"/>
  <c r="AR52" i="8"/>
  <c r="AP52" i="8"/>
  <c r="AL52" i="8"/>
  <c r="AV51" i="8"/>
  <c r="AU51" i="8"/>
  <c r="AT51" i="8"/>
  <c r="AS51" i="8"/>
  <c r="AR51" i="8"/>
  <c r="AP51" i="8"/>
  <c r="AL51" i="8"/>
  <c r="AV50" i="8"/>
  <c r="AU50" i="8"/>
  <c r="AT50" i="8"/>
  <c r="AS50" i="8"/>
  <c r="AR50" i="8"/>
  <c r="AP50" i="8"/>
  <c r="AL50" i="8"/>
  <c r="AV49" i="8"/>
  <c r="AU49" i="8"/>
  <c r="AT49" i="8"/>
  <c r="AS49" i="8"/>
  <c r="AR49" i="8"/>
  <c r="AP49" i="8"/>
  <c r="AL49" i="8"/>
  <c r="AV48" i="8"/>
  <c r="AU48" i="8"/>
  <c r="AT48" i="8"/>
  <c r="AS48" i="8"/>
  <c r="AR48" i="8"/>
  <c r="AP48" i="8"/>
  <c r="AL48" i="8"/>
  <c r="AV47" i="8"/>
  <c r="AU47" i="8"/>
  <c r="AT47" i="8"/>
  <c r="AS47" i="8"/>
  <c r="AR47" i="8"/>
  <c r="AP47" i="8"/>
  <c r="AL47" i="8"/>
  <c r="AV46" i="8"/>
  <c r="AU46" i="8"/>
  <c r="AT46" i="8"/>
  <c r="AS46" i="8"/>
  <c r="AR46" i="8"/>
  <c r="AV45" i="8"/>
  <c r="AU45" i="8"/>
  <c r="AT45" i="8"/>
  <c r="AS45" i="8"/>
  <c r="AR45" i="8"/>
  <c r="AP45" i="8"/>
  <c r="AL45" i="8"/>
  <c r="AV44" i="8"/>
  <c r="AU44" i="8"/>
  <c r="AT44" i="8"/>
  <c r="AS44" i="8"/>
  <c r="AR44" i="8"/>
  <c r="AP44" i="8"/>
  <c r="AL44" i="8"/>
  <c r="AV43" i="8"/>
  <c r="AU43" i="8"/>
  <c r="AT43" i="8"/>
  <c r="AS43" i="8"/>
  <c r="AR43" i="8"/>
  <c r="AP43" i="8"/>
  <c r="AL43" i="8"/>
  <c r="AV42" i="8"/>
  <c r="AU42" i="8"/>
  <c r="AT42" i="8"/>
  <c r="AS42" i="8"/>
  <c r="AR42" i="8"/>
  <c r="AP42" i="8"/>
  <c r="AL42" i="8"/>
  <c r="AV41" i="8"/>
  <c r="AU41" i="8"/>
  <c r="AT41" i="8"/>
  <c r="AS41" i="8"/>
  <c r="AR41" i="8"/>
  <c r="AP41" i="8"/>
  <c r="AL41" i="8"/>
  <c r="AV40" i="8"/>
  <c r="AU40" i="8"/>
  <c r="AT40" i="8"/>
  <c r="AS40" i="8"/>
  <c r="AR40" i="8"/>
  <c r="AP40" i="8"/>
  <c r="AL40" i="8"/>
  <c r="AV39" i="8"/>
  <c r="AU39" i="8"/>
  <c r="AT39" i="8"/>
  <c r="AS39" i="8"/>
  <c r="AR39" i="8"/>
  <c r="AP39" i="8"/>
  <c r="AL39" i="8"/>
  <c r="AV38" i="8"/>
  <c r="AU38" i="8"/>
  <c r="AT38" i="8"/>
  <c r="AS38" i="8"/>
  <c r="AR38" i="8"/>
  <c r="AP38" i="8"/>
  <c r="AL38" i="8"/>
  <c r="AV37" i="8"/>
  <c r="AU37" i="8"/>
  <c r="AT37" i="8"/>
  <c r="AS37" i="8"/>
  <c r="AR37" i="8"/>
  <c r="AP37" i="8"/>
  <c r="AL37" i="8"/>
  <c r="AV36" i="8"/>
  <c r="AU36" i="8"/>
  <c r="AT36" i="8"/>
  <c r="AS36" i="8"/>
  <c r="AR36" i="8"/>
  <c r="AP36" i="8"/>
  <c r="AL36" i="8"/>
  <c r="AV35" i="8"/>
  <c r="AU35" i="8"/>
  <c r="AT35" i="8"/>
  <c r="AS35" i="8"/>
  <c r="AR35" i="8"/>
  <c r="AP35" i="8"/>
  <c r="AL35" i="8"/>
  <c r="AV34" i="8"/>
  <c r="AU34" i="8"/>
  <c r="AT34" i="8"/>
  <c r="AS34" i="8"/>
  <c r="AR34" i="8"/>
  <c r="AP34" i="8"/>
  <c r="AL34" i="8"/>
  <c r="AV33" i="8"/>
  <c r="AU33" i="8"/>
  <c r="AT33" i="8"/>
  <c r="AS33" i="8"/>
  <c r="AR33" i="8"/>
  <c r="AP33" i="8"/>
  <c r="AL33" i="8"/>
  <c r="AV32" i="8"/>
  <c r="AU32" i="8"/>
  <c r="AT32" i="8"/>
  <c r="AS32" i="8"/>
  <c r="AR32" i="8"/>
  <c r="AP32" i="8"/>
  <c r="AL32" i="8"/>
  <c r="AV31" i="8"/>
  <c r="AU31" i="8"/>
  <c r="AT31" i="8"/>
  <c r="AS31" i="8"/>
  <c r="AR31" i="8"/>
  <c r="AV30" i="8"/>
  <c r="AU30" i="8"/>
  <c r="AT30" i="8"/>
  <c r="AS30" i="8"/>
  <c r="AR30" i="8"/>
  <c r="AP30" i="8"/>
  <c r="AL30" i="8"/>
  <c r="AV29" i="8"/>
  <c r="AU29" i="8"/>
  <c r="AT29" i="8"/>
  <c r="AS29" i="8"/>
  <c r="AR29" i="8"/>
  <c r="AP29" i="8"/>
  <c r="AL29" i="8"/>
  <c r="AV28" i="8"/>
  <c r="AU28" i="8"/>
  <c r="AT28" i="8"/>
  <c r="AS28" i="8"/>
  <c r="AR28" i="8"/>
  <c r="AV27" i="8"/>
  <c r="AU27" i="8"/>
  <c r="AT27" i="8"/>
  <c r="AS27" i="8"/>
  <c r="AR27" i="8"/>
  <c r="AV26" i="8"/>
  <c r="AU26" i="8"/>
  <c r="AT26" i="8"/>
  <c r="AS26" i="8"/>
  <c r="AR26" i="8"/>
  <c r="AP26" i="8"/>
  <c r="AL26" i="8"/>
  <c r="AV25" i="8"/>
  <c r="AU25" i="8"/>
  <c r="AT25" i="8"/>
  <c r="AS25" i="8"/>
  <c r="AR25" i="8"/>
  <c r="AP25" i="8"/>
  <c r="AL25" i="8"/>
  <c r="AV24" i="8"/>
  <c r="AU24" i="8"/>
  <c r="AT24" i="8"/>
  <c r="AS24" i="8"/>
  <c r="AR24" i="8"/>
  <c r="AP24" i="8"/>
  <c r="AL24" i="8"/>
  <c r="AV23" i="8"/>
  <c r="AU23" i="8"/>
  <c r="AT23" i="8"/>
  <c r="AS23" i="8"/>
  <c r="AR23" i="8"/>
  <c r="AP23" i="8"/>
  <c r="AL23" i="8"/>
  <c r="AV22" i="8"/>
  <c r="AU22" i="8"/>
  <c r="AT22" i="8"/>
  <c r="AS22" i="8"/>
  <c r="AR22" i="8"/>
  <c r="AP22" i="8"/>
  <c r="AL22" i="8"/>
  <c r="AV21" i="8"/>
  <c r="AU21" i="8"/>
  <c r="AT21" i="8"/>
  <c r="AS21" i="8"/>
  <c r="AR21" i="8"/>
  <c r="AP21" i="8"/>
  <c r="AL21" i="8"/>
  <c r="AV20" i="8"/>
  <c r="AU20" i="8"/>
  <c r="AT20" i="8"/>
  <c r="AS20" i="8"/>
  <c r="AR20" i="8"/>
  <c r="AP20" i="8"/>
  <c r="AL20" i="8"/>
  <c r="AV19" i="8"/>
  <c r="AU19" i="8"/>
  <c r="AT19" i="8"/>
  <c r="AS19" i="8"/>
  <c r="AR19" i="8"/>
  <c r="AP19" i="8"/>
  <c r="AL19" i="8"/>
  <c r="AV18" i="8"/>
  <c r="AU18" i="8"/>
  <c r="AT18" i="8"/>
  <c r="AS18" i="8"/>
  <c r="AR18" i="8"/>
  <c r="AP18" i="8"/>
  <c r="AL18" i="8"/>
  <c r="AV17" i="8"/>
  <c r="AU17" i="8"/>
  <c r="AT17" i="8"/>
  <c r="AS17" i="8"/>
  <c r="AR17" i="8"/>
  <c r="AP17" i="8"/>
  <c r="AL17" i="8"/>
  <c r="AV16" i="8"/>
  <c r="AU16" i="8"/>
  <c r="AT16" i="8"/>
  <c r="AS16" i="8"/>
  <c r="AR16" i="8"/>
  <c r="AP16" i="8"/>
  <c r="AL16" i="8"/>
  <c r="AV15" i="8"/>
  <c r="AU15" i="8"/>
  <c r="AT15" i="8"/>
  <c r="AS15" i="8"/>
  <c r="AR15" i="8"/>
  <c r="AP15" i="8"/>
  <c r="AL15" i="8"/>
  <c r="AV14" i="8"/>
  <c r="AU14" i="8"/>
  <c r="AT14" i="8"/>
  <c r="AS14" i="8"/>
  <c r="AR14" i="8"/>
  <c r="AV13" i="8"/>
  <c r="AU13" i="8"/>
  <c r="AT13" i="8"/>
  <c r="AS13" i="8"/>
  <c r="AR13" i="8"/>
  <c r="AP13" i="8"/>
  <c r="AL13" i="8"/>
  <c r="AV12" i="8"/>
  <c r="AU12" i="8"/>
  <c r="AT12" i="8"/>
  <c r="AS12" i="8"/>
  <c r="AR12" i="8"/>
  <c r="AP12" i="8"/>
  <c r="AL12" i="8"/>
  <c r="AV11" i="8"/>
  <c r="AU11" i="8"/>
  <c r="AT11" i="8"/>
  <c r="AS11" i="8"/>
  <c r="AR11" i="8"/>
  <c r="AP11" i="8"/>
  <c r="AL11" i="8"/>
  <c r="AV10" i="8"/>
  <c r="AU10" i="8"/>
  <c r="AT10" i="8"/>
  <c r="AS10" i="8"/>
  <c r="AR10" i="8"/>
  <c r="AP10" i="8"/>
  <c r="AL10" i="8"/>
  <c r="AV9" i="8"/>
  <c r="AU9" i="8"/>
  <c r="AT9" i="8"/>
  <c r="AS9" i="8"/>
  <c r="AR9" i="8"/>
  <c r="AP9" i="8"/>
  <c r="AL9" i="8"/>
  <c r="AV8" i="8"/>
  <c r="AU8" i="8"/>
  <c r="AT8" i="8"/>
  <c r="AS8" i="8"/>
  <c r="AR8" i="8"/>
  <c r="AP8" i="8"/>
  <c r="AL8" i="8"/>
  <c r="AV7" i="8"/>
  <c r="AU7" i="8"/>
  <c r="AT7" i="8"/>
  <c r="AS7" i="8"/>
  <c r="AR7" i="8"/>
  <c r="AP7" i="8"/>
  <c r="AL7" i="8"/>
  <c r="AV6" i="8"/>
  <c r="AU6" i="8"/>
  <c r="AT6" i="8"/>
  <c r="AS6" i="8"/>
  <c r="AR6" i="8"/>
  <c r="AP6" i="8"/>
  <c r="AL6" i="8"/>
  <c r="AV5" i="8"/>
  <c r="AU5" i="8"/>
  <c r="AT5" i="8"/>
  <c r="AS5" i="8"/>
  <c r="AR5" i="8"/>
  <c r="AP5" i="8"/>
  <c r="AL5" i="8"/>
  <c r="AV4" i="8"/>
  <c r="AU4" i="8"/>
  <c r="AT4" i="8"/>
  <c r="AS4" i="8"/>
  <c r="AR4" i="8"/>
  <c r="AP4" i="8"/>
  <c r="AL4" i="8"/>
  <c r="B134" i="7"/>
  <c r="AK133" i="7"/>
  <c r="AK132" i="7"/>
  <c r="AK131" i="7"/>
  <c r="AK130" i="7"/>
  <c r="AK129" i="7"/>
  <c r="AK128" i="7"/>
  <c r="AK127" i="7"/>
  <c r="AK126" i="7"/>
  <c r="AK125" i="7"/>
  <c r="AK124" i="7"/>
  <c r="AK123" i="7"/>
  <c r="AK122" i="7"/>
  <c r="AK121" i="7"/>
  <c r="AK120" i="7"/>
  <c r="AK119" i="7"/>
  <c r="AK118" i="7"/>
  <c r="AK117" i="7"/>
  <c r="AK116" i="7"/>
  <c r="AK115" i="7"/>
  <c r="AK114" i="7"/>
  <c r="AK113" i="7"/>
  <c r="AK112" i="7"/>
  <c r="AK111" i="7"/>
  <c r="AK110" i="7"/>
  <c r="AK109" i="7"/>
  <c r="AK108" i="7"/>
  <c r="AK107" i="7"/>
  <c r="AK106" i="7"/>
  <c r="AK105" i="7"/>
  <c r="AK104" i="7"/>
  <c r="AK103" i="7"/>
  <c r="AK102" i="7"/>
  <c r="AK101" i="7"/>
  <c r="AK100" i="7"/>
  <c r="AK99" i="7"/>
  <c r="AK98" i="7"/>
  <c r="AK97" i="7"/>
  <c r="AK96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K4" i="7"/>
  <c r="AK3" i="7"/>
  <c r="AK2" i="7"/>
  <c r="BF38" i="6"/>
  <c r="BF97" i="6"/>
  <c r="BF87" i="6"/>
  <c r="BF31" i="6"/>
  <c r="BF42" i="6"/>
  <c r="BF101" i="6"/>
  <c r="BF89" i="6"/>
  <c r="BF29" i="6"/>
  <c r="BF74" i="6"/>
  <c r="BF10" i="6"/>
  <c r="BF17" i="6"/>
  <c r="BF121" i="6"/>
  <c r="BF132" i="6"/>
  <c r="BF111" i="6"/>
  <c r="BF21" i="6"/>
  <c r="BF110" i="6"/>
  <c r="BF12" i="6"/>
  <c r="BF37" i="6"/>
  <c r="BF5" i="6"/>
  <c r="BF119" i="6"/>
  <c r="BF19" i="6"/>
  <c r="BF102" i="6"/>
  <c r="BF143" i="6"/>
  <c r="BF139" i="6"/>
  <c r="BF72" i="6"/>
  <c r="BF35" i="6"/>
  <c r="BF48" i="6"/>
  <c r="BF131" i="6"/>
  <c r="BF84" i="6"/>
  <c r="BF141" i="6"/>
  <c r="BF116" i="6"/>
  <c r="BF144" i="6"/>
  <c r="BF73" i="6"/>
  <c r="BF113" i="6"/>
  <c r="BF43" i="6"/>
  <c r="BF105" i="6"/>
  <c r="BF96" i="6"/>
  <c r="BF15" i="6"/>
  <c r="BF117" i="6"/>
  <c r="BF23" i="6"/>
  <c r="BF106" i="6"/>
  <c r="BF126" i="6"/>
  <c r="BF138" i="6"/>
  <c r="BF80" i="6"/>
  <c r="BF90" i="6"/>
  <c r="BF53" i="6"/>
  <c r="BF107" i="6"/>
  <c r="BF115" i="6"/>
  <c r="BF136" i="6"/>
  <c r="BF41" i="6"/>
  <c r="BF69" i="6"/>
  <c r="BF52" i="6"/>
  <c r="BF120" i="6"/>
  <c r="BF60" i="6"/>
  <c r="BF109" i="6"/>
  <c r="BF137" i="6"/>
  <c r="BF13" i="6"/>
  <c r="BF11" i="6"/>
  <c r="BF99" i="6"/>
  <c r="BF36" i="6"/>
  <c r="BF14" i="6"/>
  <c r="BF128" i="6"/>
  <c r="BF6" i="6"/>
  <c r="BF94" i="6"/>
  <c r="BF59" i="6"/>
  <c r="BF18" i="6"/>
  <c r="BF78" i="6"/>
  <c r="BF44" i="6"/>
  <c r="BF8" i="6"/>
  <c r="BF51" i="6"/>
  <c r="BF33" i="6"/>
  <c r="BF77" i="6"/>
  <c r="BF25" i="6"/>
  <c r="BF118" i="6"/>
  <c r="BF134" i="6"/>
  <c r="BF71" i="6"/>
  <c r="BF122" i="6"/>
  <c r="BF82" i="6"/>
  <c r="BF92" i="6"/>
  <c r="BF88" i="6"/>
  <c r="BF98" i="6"/>
  <c r="BF63" i="6"/>
  <c r="BF45" i="6"/>
  <c r="BF130" i="6"/>
  <c r="BF142" i="6"/>
  <c r="BF54" i="6"/>
  <c r="BF91" i="6"/>
  <c r="BF20" i="6"/>
  <c r="BF9" i="6"/>
  <c r="BF83" i="6"/>
  <c r="BF112" i="6"/>
  <c r="BF64" i="6"/>
  <c r="BF50" i="6"/>
  <c r="BF100" i="6"/>
  <c r="BF135" i="6"/>
  <c r="BF49" i="6"/>
  <c r="BF104" i="6"/>
  <c r="BF114" i="6"/>
  <c r="BF79" i="6"/>
  <c r="BF81" i="6"/>
  <c r="BF57" i="6"/>
  <c r="BF140" i="6"/>
  <c r="BF46" i="6"/>
  <c r="BF55" i="6"/>
  <c r="BF24" i="6"/>
  <c r="BF124" i="6"/>
  <c r="BF129" i="6"/>
  <c r="BF145" i="6"/>
  <c r="AH2" i="5" l="1"/>
  <c r="BF151" i="6"/>
  <c r="BF150" i="6"/>
  <c r="K31" i="15"/>
  <c r="BH22" i="6"/>
  <c r="BH87" i="6"/>
  <c r="BG57" i="6"/>
  <c r="BH113" i="6"/>
  <c r="BH50" i="6"/>
  <c r="BG77" i="6"/>
  <c r="BH118" i="6"/>
  <c r="BG74" i="6"/>
  <c r="BG111" i="6"/>
  <c r="BH55" i="6"/>
  <c r="BH145" i="6"/>
  <c r="BG35" i="6"/>
  <c r="BG21" i="6"/>
  <c r="BH97" i="6"/>
  <c r="BG85" i="6"/>
  <c r="BG9" i="6"/>
  <c r="BH78" i="6"/>
  <c r="BH112" i="6"/>
  <c r="BH88" i="6"/>
  <c r="BH83" i="6"/>
  <c r="BH94" i="6"/>
  <c r="BH106" i="6"/>
  <c r="BG101" i="6"/>
  <c r="BG87" i="6"/>
  <c r="BH76" i="6"/>
  <c r="BH92" i="6"/>
  <c r="BG78" i="6"/>
  <c r="BH67" i="6"/>
  <c r="BG51" i="6"/>
  <c r="BH46" i="6"/>
  <c r="BG28" i="6"/>
  <c r="BH35" i="6"/>
  <c r="BG17" i="6"/>
  <c r="BH89" i="6"/>
  <c r="AZ47" i="15"/>
  <c r="BH8" i="6"/>
  <c r="BG91" i="6"/>
  <c r="BH101" i="6"/>
  <c r="BG141" i="6"/>
  <c r="BH128" i="6"/>
  <c r="BG69" i="6"/>
  <c r="BB43" i="15"/>
  <c r="BH44" i="6"/>
  <c r="BH135" i="6"/>
  <c r="BH54" i="6"/>
  <c r="BH131" i="6"/>
  <c r="BH114" i="6"/>
  <c r="BG113" i="6"/>
  <c r="BH141" i="6"/>
  <c r="BG84" i="6"/>
  <c r="BG94" i="6"/>
  <c r="BG37" i="6"/>
  <c r="BH61" i="6"/>
  <c r="BH34" i="6"/>
  <c r="BG129" i="6"/>
  <c r="BH18" i="6"/>
  <c r="BG83" i="6"/>
  <c r="BH27" i="6"/>
  <c r="BH137" i="6"/>
  <c r="BG116" i="6"/>
  <c r="BG79" i="6"/>
  <c r="BH43" i="6"/>
  <c r="BG81" i="6"/>
  <c r="BH20" i="6"/>
  <c r="BH77" i="6"/>
  <c r="BG134" i="6"/>
  <c r="BG119" i="6"/>
  <c r="BH119" i="6"/>
  <c r="BG118" i="6"/>
  <c r="BH144" i="6"/>
  <c r="BG18" i="6"/>
  <c r="BH19" i="6"/>
  <c r="BG43" i="6"/>
  <c r="BH116" i="6"/>
  <c r="BG8" i="6"/>
  <c r="BH91" i="6"/>
  <c r="BG29" i="6"/>
  <c r="BH9" i="6"/>
  <c r="BH21" i="6"/>
  <c r="BH96" i="6"/>
  <c r="AZ55" i="15"/>
  <c r="BG102" i="6"/>
  <c r="BH49" i="6"/>
  <c r="BG53" i="6"/>
  <c r="BH121" i="6"/>
  <c r="BG31" i="6"/>
  <c r="BG41" i="6"/>
  <c r="BH136" i="6"/>
  <c r="BH59" i="6"/>
  <c r="BH85" i="6"/>
  <c r="BG55" i="6"/>
  <c r="AZ39" i="15"/>
  <c r="BG110" i="6"/>
  <c r="BG120" i="6"/>
  <c r="BG121" i="6"/>
  <c r="BH13" i="6"/>
  <c r="BG132" i="6"/>
  <c r="BH117" i="6"/>
  <c r="BG142" i="6"/>
  <c r="BG112" i="6"/>
  <c r="BH74" i="6"/>
  <c r="BG14" i="6"/>
  <c r="BH105" i="6"/>
  <c r="BH25" i="6"/>
  <c r="BH126" i="6"/>
  <c r="BG33" i="6"/>
  <c r="BH110" i="6"/>
  <c r="BH111" i="6"/>
  <c r="BG22" i="6"/>
  <c r="BH31" i="6"/>
  <c r="BH98" i="6"/>
  <c r="BG63" i="6"/>
  <c r="BG25" i="6"/>
  <c r="BH15" i="6"/>
  <c r="BH80" i="6"/>
  <c r="BG72" i="6"/>
  <c r="BG70" i="6"/>
  <c r="BH139" i="6"/>
  <c r="BH56" i="6"/>
  <c r="BG36" i="6"/>
  <c r="BH122" i="6"/>
  <c r="BG96" i="6"/>
  <c r="BG137" i="6"/>
  <c r="BG140" i="6"/>
  <c r="BH57" i="6"/>
  <c r="BG67" i="6"/>
  <c r="BH48" i="6"/>
  <c r="BG76" i="6"/>
  <c r="BH69" i="6"/>
  <c r="BH36" i="6"/>
  <c r="BH23" i="6"/>
  <c r="BG52" i="6"/>
  <c r="BG20" i="6"/>
  <c r="BG19" i="6"/>
  <c r="BG136" i="6"/>
  <c r="BG73" i="6"/>
  <c r="BG89" i="6"/>
  <c r="BG104" i="6"/>
  <c r="BH132" i="6"/>
  <c r="BG100" i="6"/>
  <c r="BG109" i="6"/>
  <c r="BG49" i="6"/>
  <c r="BG92" i="6"/>
  <c r="BH140" i="6"/>
  <c r="BH138" i="6"/>
  <c r="BB51" i="15"/>
  <c r="BB47" i="15"/>
  <c r="BH38" i="6"/>
  <c r="BH81" i="6"/>
  <c r="BH120" i="6"/>
  <c r="BH129" i="6"/>
  <c r="BH58" i="6"/>
  <c r="BG82" i="6"/>
  <c r="BG105" i="6"/>
  <c r="BG48" i="6"/>
  <c r="BG107" i="6"/>
  <c r="BH130" i="6"/>
  <c r="BB55" i="15"/>
  <c r="BH84" i="6"/>
  <c r="BG64" i="6"/>
  <c r="BG24" i="6"/>
  <c r="BG58" i="6"/>
  <c r="BH64" i="6"/>
  <c r="BG39" i="6"/>
  <c r="BH102" i="6"/>
  <c r="BH14" i="6"/>
  <c r="BG138" i="6"/>
  <c r="BG56" i="6"/>
  <c r="BH53" i="6"/>
  <c r="BH100" i="6"/>
  <c r="BG97" i="6"/>
  <c r="BH90" i="6"/>
  <c r="BG60" i="6"/>
  <c r="BH70" i="6"/>
  <c r="BH33" i="6"/>
  <c r="BH63" i="6"/>
  <c r="BH51" i="6"/>
  <c r="BG42" i="6"/>
  <c r="BG88" i="6"/>
  <c r="BG44" i="6"/>
  <c r="BH124" i="6"/>
  <c r="BG23" i="6"/>
  <c r="BH60" i="6"/>
  <c r="BH109" i="6"/>
  <c r="BH104" i="6"/>
  <c r="BH71" i="6"/>
  <c r="BH41" i="6"/>
  <c r="BG90" i="6"/>
  <c r="BG61" i="6"/>
  <c r="BG45" i="6"/>
  <c r="BG71" i="6"/>
  <c r="BG80" i="6"/>
  <c r="BH115" i="6"/>
  <c r="BH82" i="6"/>
  <c r="BG128" i="6"/>
  <c r="BG115" i="6"/>
  <c r="BG27" i="6"/>
  <c r="BH42" i="6"/>
  <c r="BH40" i="6"/>
  <c r="BH73" i="6"/>
  <c r="BH28" i="6"/>
  <c r="BH45" i="6"/>
  <c r="BG46" i="6"/>
  <c r="BG135" i="6"/>
  <c r="BH17" i="6"/>
  <c r="BH39" i="6"/>
  <c r="BH107" i="6"/>
  <c r="BG38" i="6"/>
  <c r="BH52" i="6"/>
  <c r="BG40" i="6"/>
  <c r="BG50" i="6"/>
  <c r="BH134" i="6"/>
  <c r="BH143" i="6"/>
  <c r="BH99" i="6"/>
  <c r="BH72" i="6"/>
  <c r="BH79" i="6"/>
  <c r="BG114" i="6"/>
  <c r="BH37" i="6"/>
  <c r="BG59" i="6"/>
  <c r="BG30" i="6"/>
  <c r="BG139" i="6"/>
  <c r="BG13" i="6"/>
  <c r="BG34" i="6"/>
  <c r="BG54" i="6"/>
  <c r="BH30" i="6"/>
  <c r="BJ145" i="6" l="1"/>
  <c r="BJ132" i="6"/>
  <c r="BJ122" i="6"/>
  <c r="BJ120" i="6"/>
  <c r="BJ141" i="6"/>
  <c r="BJ134" i="6"/>
  <c r="BJ129" i="6"/>
  <c r="BJ130" i="6"/>
  <c r="BJ131" i="6"/>
  <c r="BJ144" i="6"/>
  <c r="BJ124" i="6"/>
  <c r="BJ126" i="6"/>
  <c r="BJ135" i="6"/>
  <c r="BJ136" i="6"/>
  <c r="BJ117" i="6"/>
  <c r="BJ137" i="6"/>
  <c r="BJ121" i="6"/>
  <c r="BJ139" i="6"/>
  <c r="BJ143" i="6"/>
  <c r="BJ128" i="6"/>
  <c r="BJ140" i="6"/>
  <c r="BJ118" i="6"/>
  <c r="BJ138" i="6"/>
  <c r="BJ81" i="6"/>
  <c r="BJ83" i="6"/>
  <c r="BJ49" i="6"/>
  <c r="BJ25" i="6"/>
  <c r="BJ87" i="6"/>
  <c r="BJ31" i="6"/>
  <c r="BJ97" i="6"/>
  <c r="BJ61" i="6"/>
  <c r="BJ104" i="6"/>
  <c r="BJ98" i="6"/>
  <c r="BJ77" i="6"/>
  <c r="BJ63" i="6"/>
  <c r="BJ113" i="6"/>
  <c r="BJ21" i="6"/>
  <c r="BJ78" i="6"/>
  <c r="BJ74" i="6"/>
  <c r="BJ100" i="6"/>
  <c r="BJ57" i="6"/>
  <c r="BJ88" i="6"/>
  <c r="BJ56" i="6"/>
  <c r="BJ90" i="6"/>
  <c r="BJ89" i="6"/>
  <c r="BJ85" i="6"/>
  <c r="BJ23" i="6"/>
  <c r="BJ50" i="6"/>
  <c r="BJ34" i="6"/>
  <c r="BJ112" i="6"/>
  <c r="BJ48" i="6"/>
  <c r="BJ72" i="6"/>
  <c r="BJ71" i="6"/>
  <c r="BJ19" i="6"/>
  <c r="BJ27" i="6"/>
  <c r="BJ79" i="6"/>
  <c r="BJ22" i="6"/>
  <c r="BJ53" i="6"/>
  <c r="BJ17" i="6"/>
  <c r="BJ9" i="6"/>
  <c r="BJ80" i="6"/>
  <c r="BJ105" i="6"/>
  <c r="BJ54" i="6"/>
  <c r="BJ101" i="6"/>
  <c r="BJ73" i="6"/>
  <c r="BJ13" i="6"/>
  <c r="BJ20" i="6"/>
  <c r="BJ67" i="6"/>
  <c r="BJ12" i="6"/>
  <c r="BJ102" i="6"/>
  <c r="BJ91" i="6"/>
  <c r="BJ64" i="6"/>
  <c r="BJ18" i="6"/>
  <c r="BJ96" i="6"/>
  <c r="BJ99" i="6"/>
  <c r="BJ84" i="6"/>
  <c r="BJ28" i="6"/>
  <c r="BJ52" i="6"/>
  <c r="BJ46" i="6"/>
  <c r="BJ45" i="6"/>
  <c r="BJ92" i="6"/>
  <c r="BJ82" i="6"/>
  <c r="BJ94" i="6"/>
  <c r="BJ30" i="6"/>
  <c r="BK98" i="6"/>
  <c r="BK131" i="6"/>
  <c r="BK132" i="6"/>
  <c r="BH150" i="6"/>
  <c r="BH151" i="6"/>
  <c r="BG151" i="6"/>
  <c r="BG150" i="6"/>
  <c r="BJ116" i="6"/>
  <c r="BJ38" i="6"/>
  <c r="BJ35" i="6"/>
  <c r="BJ42" i="6"/>
  <c r="BJ33" i="6"/>
  <c r="BJ55" i="6"/>
  <c r="BJ69" i="6"/>
  <c r="BJ36" i="6"/>
  <c r="BJ37" i="6"/>
  <c r="BJ41" i="6"/>
  <c r="BJ119" i="6"/>
  <c r="BJ8" i="6"/>
  <c r="BJ43" i="6"/>
  <c r="BJ44" i="6"/>
  <c r="BJ51" i="6"/>
  <c r="BF152" i="6"/>
  <c r="L31" i="15"/>
  <c r="BA55" i="15"/>
  <c r="BA52" i="15"/>
  <c r="BA40" i="15"/>
  <c r="BA43" i="15"/>
  <c r="AZ54" i="15"/>
  <c r="BA51" i="15"/>
  <c r="BB35" i="15"/>
  <c r="BA48" i="15"/>
  <c r="BB48" i="15"/>
  <c r="AZ48" i="15"/>
  <c r="BA39" i="15"/>
  <c r="BA37" i="15"/>
  <c r="BA42" i="15"/>
  <c r="BB52" i="15"/>
  <c r="BA53" i="15"/>
  <c r="BA33" i="15"/>
  <c r="BA34" i="15"/>
  <c r="BA49" i="15"/>
  <c r="AZ46" i="15"/>
  <c r="AZ52" i="15"/>
  <c r="BB46" i="15"/>
  <c r="BB53" i="15"/>
  <c r="BB54" i="15"/>
  <c r="BA36" i="15"/>
  <c r="BA41" i="15"/>
  <c r="BA45" i="15"/>
  <c r="BA54" i="15"/>
  <c r="BB49" i="15"/>
  <c r="AZ43" i="15"/>
  <c r="L36" i="15"/>
  <c r="AZ49" i="15"/>
  <c r="AZ51" i="15"/>
  <c r="BJ11" i="6" l="1"/>
  <c r="BJ24" i="6"/>
  <c r="BJ39" i="6"/>
  <c r="BJ106" i="6"/>
  <c r="BJ107" i="6"/>
  <c r="BJ6" i="6"/>
  <c r="BJ15" i="6"/>
  <c r="BJ109" i="6"/>
  <c r="BJ14" i="6"/>
  <c r="BJ40" i="6"/>
  <c r="BJ59" i="6"/>
  <c r="BJ110" i="6"/>
  <c r="BJ7" i="6"/>
  <c r="BJ76" i="6"/>
  <c r="BJ10" i="6"/>
  <c r="BJ58" i="6"/>
  <c r="BJ114" i="6"/>
  <c r="BJ111" i="6"/>
  <c r="BJ60" i="6"/>
  <c r="BJ115" i="6"/>
  <c r="BJ70" i="6"/>
  <c r="BJ29" i="6"/>
  <c r="BI150" i="6"/>
  <c r="BI151" i="6"/>
  <c r="BJ5" i="6"/>
  <c r="BJ142" i="6"/>
  <c r="BA15" i="15"/>
  <c r="BA23" i="15"/>
  <c r="BA6" i="15"/>
  <c r="BA8" i="15"/>
  <c r="BA24" i="15"/>
  <c r="BA25" i="15"/>
  <c r="BA26" i="15"/>
  <c r="BA13" i="15"/>
  <c r="BA14" i="15"/>
  <c r="BA17" i="15"/>
  <c r="BB5" i="15"/>
  <c r="BH152" i="6"/>
  <c r="BB14" i="15"/>
  <c r="BB6" i="15"/>
  <c r="BB17" i="15"/>
  <c r="BB26" i="15"/>
  <c r="BB13" i="15"/>
  <c r="BB24" i="15"/>
  <c r="BG152" i="6"/>
  <c r="M31" i="15"/>
  <c r="BJ146" i="6" l="1"/>
  <c r="BI152" i="6"/>
  <c r="N31" i="15"/>
  <c r="M37" i="15"/>
  <c r="M36" i="15"/>
  <c r="BJ157" i="6" l="1"/>
  <c r="BJ156" i="6"/>
  <c r="BJ155" i="6"/>
  <c r="O31" i="15"/>
  <c r="BJ158" i="6" l="1"/>
  <c r="P31" i="15"/>
  <c r="Q31" i="15" l="1"/>
  <c r="H25" i="15"/>
  <c r="I8" i="15"/>
  <c r="E8" i="15"/>
  <c r="I25" i="15"/>
  <c r="G15" i="15"/>
  <c r="E23" i="15"/>
  <c r="F23" i="15"/>
  <c r="G14" i="15"/>
  <c r="E14" i="15"/>
  <c r="G13" i="15"/>
  <c r="G19" i="15"/>
  <c r="J25" i="15"/>
  <c r="E25" i="15"/>
  <c r="J13" i="15"/>
  <c r="E13" i="15"/>
  <c r="E15" i="15"/>
  <c r="I15" i="15"/>
  <c r="F25" i="15"/>
  <c r="E26" i="15"/>
  <c r="F26" i="15"/>
  <c r="F14" i="15"/>
  <c r="F19" i="15"/>
  <c r="F11" i="15"/>
  <c r="E11" i="15"/>
  <c r="F15" i="15"/>
  <c r="G25" i="15"/>
  <c r="F12" i="15"/>
  <c r="E5" i="15"/>
  <c r="F5" i="15"/>
  <c r="F13" i="15"/>
  <c r="F24" i="15"/>
  <c r="F8" i="15"/>
  <c r="H15" i="15"/>
  <c r="H19" i="15"/>
  <c r="E19" i="15"/>
  <c r="E7" i="15"/>
  <c r="F7" i="15"/>
  <c r="G24" i="15"/>
  <c r="E24" i="15"/>
  <c r="G8" i="15"/>
  <c r="H8" i="15"/>
  <c r="F17" i="15"/>
  <c r="E17" i="15"/>
  <c r="E27" i="15"/>
  <c r="G27" i="15"/>
  <c r="H13" i="15"/>
  <c r="I13" i="15"/>
  <c r="F27" i="15"/>
  <c r="E12" i="15"/>
  <c r="R31" i="15" l="1"/>
  <c r="G5" i="15"/>
  <c r="S31" i="15" l="1"/>
  <c r="C34" i="15"/>
  <c r="BE150" i="19"/>
  <c r="BE151" i="19"/>
  <c r="C36" i="15"/>
  <c r="C33" i="15"/>
  <c r="C35" i="15"/>
  <c r="C37" i="15"/>
  <c r="G7" i="15"/>
  <c r="H5" i="15"/>
  <c r="BE152" i="19" l="1"/>
  <c r="T31" i="15"/>
  <c r="U31" i="15" l="1"/>
  <c r="V31" i="15" l="1"/>
  <c r="W31" i="15" l="1"/>
  <c r="X31" i="15" l="1"/>
  <c r="Y31" i="15" l="1"/>
  <c r="Z31" i="15" l="1"/>
  <c r="AA31" i="15" l="1"/>
  <c r="AB31" i="15" l="1"/>
  <c r="AC31" i="15" l="1"/>
  <c r="C46" i="15" l="1"/>
  <c r="AD31" i="15"/>
  <c r="AE31" i="15" l="1"/>
  <c r="AF31" i="15" l="1"/>
  <c r="AG31" i="15" l="1"/>
  <c r="AH31" i="15" l="1"/>
  <c r="AI31" i="15" l="1"/>
  <c r="AJ31" i="15" l="1"/>
  <c r="AK31" i="15" l="1"/>
  <c r="AL31" i="15" l="1"/>
  <c r="AM31" i="15" l="1"/>
  <c r="AN31" i="15" l="1"/>
  <c r="AO31" i="15" l="1"/>
  <c r="AP31" i="15" l="1"/>
  <c r="AQ31" i="15" l="1"/>
  <c r="P33" i="15"/>
  <c r="BL46" i="6"/>
  <c r="BI69" i="19"/>
  <c r="AB51" i="15"/>
  <c r="BE76" i="6"/>
  <c r="AI52" i="15"/>
  <c r="BD6" i="6"/>
  <c r="BH26" i="19"/>
  <c r="AF42" i="15"/>
  <c r="BM124" i="6"/>
  <c r="BE10" i="6"/>
  <c r="BE106" i="6"/>
  <c r="Q46" i="15"/>
  <c r="F49" i="15"/>
  <c r="BM102" i="6"/>
  <c r="AY37" i="15"/>
  <c r="BI96" i="19"/>
  <c r="BE134" i="6"/>
  <c r="AB52" i="15"/>
  <c r="AB47" i="15"/>
  <c r="AA43" i="15"/>
  <c r="O51" i="15"/>
  <c r="BL25" i="6"/>
  <c r="AG55" i="15"/>
  <c r="BD10" i="6"/>
  <c r="BL67" i="6"/>
  <c r="W37" i="15"/>
  <c r="BD105" i="6"/>
  <c r="Q40" i="15"/>
  <c r="BD14" i="6"/>
  <c r="AA42" i="15"/>
  <c r="BM117" i="6"/>
  <c r="BI92" i="19"/>
  <c r="BM57" i="6"/>
  <c r="AY48" i="15"/>
  <c r="AA46" i="15"/>
  <c r="AB54" i="15"/>
  <c r="BM14" i="6"/>
  <c r="BI14" i="19"/>
  <c r="BI35" i="19"/>
  <c r="V46" i="15"/>
  <c r="BH63" i="19"/>
  <c r="J39" i="15"/>
  <c r="BH24" i="19"/>
  <c r="AI43" i="15"/>
  <c r="BM84" i="6"/>
  <c r="AL34" i="15"/>
  <c r="Z37" i="15"/>
  <c r="BH97" i="19"/>
  <c r="BE35" i="6"/>
  <c r="O53" i="15"/>
  <c r="BH49" i="19"/>
  <c r="AH33" i="15"/>
  <c r="BL40" i="6"/>
  <c r="BD99" i="6"/>
  <c r="G40" i="15"/>
  <c r="BH87" i="19"/>
  <c r="BL120" i="6"/>
  <c r="T53" i="15"/>
  <c r="T37" i="15"/>
  <c r="P40" i="15"/>
  <c r="BH106" i="19"/>
  <c r="W54" i="15"/>
  <c r="BI110" i="19"/>
  <c r="Z42" i="15"/>
  <c r="L51" i="15"/>
  <c r="BH18" i="19"/>
  <c r="AE41" i="15"/>
  <c r="BD119" i="6"/>
  <c r="S49" i="15"/>
  <c r="BI115" i="19"/>
  <c r="BL48" i="6"/>
  <c r="BE101" i="6"/>
  <c r="BD109" i="6"/>
  <c r="BI43" i="19"/>
  <c r="AM48" i="15"/>
  <c r="BD27" i="6"/>
  <c r="BE110" i="6"/>
  <c r="AF47" i="15"/>
  <c r="BM38" i="6"/>
  <c r="BH50" i="19"/>
  <c r="BI15" i="19"/>
  <c r="N46" i="15"/>
  <c r="AE43" i="15"/>
  <c r="Y51" i="15"/>
  <c r="AJ49" i="15"/>
  <c r="BM56" i="6"/>
  <c r="BD129" i="6"/>
  <c r="AJ35" i="15"/>
  <c r="N33" i="15"/>
  <c r="BL11" i="6"/>
  <c r="I47" i="15"/>
  <c r="BE136" i="6"/>
  <c r="I42" i="15"/>
  <c r="AL47" i="15"/>
  <c r="M40" i="15"/>
  <c r="AE42" i="15"/>
  <c r="AM54" i="15"/>
  <c r="BM23" i="6"/>
  <c r="S42" i="15"/>
  <c r="BL88" i="6"/>
  <c r="J51" i="15"/>
  <c r="BE50" i="6"/>
  <c r="BI104" i="19"/>
  <c r="O54" i="15"/>
  <c r="BM18" i="6"/>
  <c r="X48" i="15"/>
  <c r="BM142" i="6"/>
  <c r="BD80" i="6"/>
  <c r="BH48" i="19"/>
  <c r="T34" i="15"/>
  <c r="BE137" i="6"/>
  <c r="BD55" i="6"/>
  <c r="BH10" i="19"/>
  <c r="BM25" i="6"/>
  <c r="AB48" i="15"/>
  <c r="G49" i="15"/>
  <c r="BE67" i="6"/>
  <c r="BM115" i="6"/>
  <c r="BD128" i="6"/>
  <c r="C14" i="15"/>
  <c r="BH15" i="19"/>
  <c r="BL16" i="6"/>
  <c r="AK34" i="15"/>
  <c r="U33" i="15"/>
  <c r="BE36" i="6"/>
  <c r="BI19" i="19"/>
  <c r="BE30" i="6"/>
  <c r="I34" i="15"/>
  <c r="I46" i="15"/>
  <c r="BM112" i="6"/>
  <c r="AW36" i="15"/>
  <c r="BL137" i="6"/>
  <c r="BL87" i="6"/>
  <c r="BL61" i="6"/>
  <c r="O41" i="15"/>
  <c r="BH33" i="19"/>
  <c r="BL54" i="6"/>
  <c r="U49" i="15"/>
  <c r="W39" i="15"/>
  <c r="BL121" i="6"/>
  <c r="BH115" i="19"/>
  <c r="BE46" i="6"/>
  <c r="BL53" i="6"/>
  <c r="Y36" i="15"/>
  <c r="AB43" i="15"/>
  <c r="BE44" i="6"/>
  <c r="E46" i="15"/>
  <c r="BH101" i="19"/>
  <c r="BH25" i="19"/>
  <c r="T33" i="15"/>
  <c r="P41" i="15"/>
  <c r="Z52" i="15"/>
  <c r="AJ40" i="15"/>
  <c r="AH41" i="15"/>
  <c r="BI80" i="19"/>
  <c r="BD31" i="6"/>
  <c r="BM59" i="6"/>
  <c r="AL53" i="15"/>
  <c r="O47" i="15"/>
  <c r="BH79" i="19"/>
  <c r="AF33" i="15"/>
  <c r="N48" i="15"/>
  <c r="AA39" i="15"/>
  <c r="BE48" i="6"/>
  <c r="AW41" i="15"/>
  <c r="BI111" i="19"/>
  <c r="BL24" i="6"/>
  <c r="U55" i="15"/>
  <c r="BE79" i="6"/>
  <c r="BE141" i="6"/>
  <c r="BE34" i="6"/>
  <c r="AF41" i="15"/>
  <c r="AC42" i="15"/>
  <c r="BD116" i="6"/>
  <c r="BM43" i="6"/>
  <c r="L48" i="15"/>
  <c r="BM28" i="6"/>
  <c r="BL142" i="6"/>
  <c r="BH99" i="19"/>
  <c r="BI117" i="19"/>
  <c r="I45" i="15"/>
  <c r="N49" i="15"/>
  <c r="AB39" i="15"/>
  <c r="BM80" i="6"/>
  <c r="AC41" i="15"/>
  <c r="BI25" i="19"/>
  <c r="BE135" i="6"/>
  <c r="BL135" i="6"/>
  <c r="BH35" i="19"/>
  <c r="AI48" i="15"/>
  <c r="BL111" i="6"/>
  <c r="BD8" i="6"/>
  <c r="W35" i="15"/>
  <c r="L35" i="15"/>
  <c r="BH13" i="19"/>
  <c r="BI134" i="19"/>
  <c r="BL140" i="6"/>
  <c r="BI39" i="19"/>
  <c r="G54" i="15"/>
  <c r="P36" i="15"/>
  <c r="BL138" i="6"/>
  <c r="BH8" i="19"/>
  <c r="BE13" i="6"/>
  <c r="K49" i="15"/>
  <c r="J48" i="15"/>
  <c r="BD81" i="6"/>
  <c r="AF52" i="15"/>
  <c r="AN54" i="15"/>
  <c r="BE78" i="6"/>
  <c r="BD122" i="6"/>
  <c r="AI55" i="15"/>
  <c r="BE38" i="6"/>
  <c r="BI71" i="19"/>
  <c r="BH17" i="19"/>
  <c r="Q43" i="15"/>
  <c r="V54" i="15"/>
  <c r="BI131" i="19"/>
  <c r="AK52" i="15"/>
  <c r="BL114" i="6"/>
  <c r="AB42" i="15"/>
  <c r="AG34" i="15"/>
  <c r="BH70" i="19"/>
  <c r="BI139" i="19"/>
  <c r="AB53" i="15"/>
  <c r="BM76" i="6"/>
  <c r="BM125" i="6"/>
  <c r="BL99" i="6"/>
  <c r="P55" i="15"/>
  <c r="H55" i="15"/>
  <c r="BI142" i="19"/>
  <c r="AG43" i="15"/>
  <c r="AH52" i="15"/>
  <c r="BI48" i="19"/>
  <c r="BI98" i="19"/>
  <c r="BE77" i="6"/>
  <c r="BD101" i="6"/>
  <c r="BI6" i="19"/>
  <c r="BM37" i="6"/>
  <c r="M39" i="15"/>
  <c r="BM8" i="6"/>
  <c r="BI61" i="19"/>
  <c r="AM55" i="15"/>
  <c r="BI45" i="19"/>
  <c r="E34" i="15"/>
  <c r="AE54" i="15"/>
  <c r="AC35" i="15"/>
  <c r="R53" i="15"/>
  <c r="AO33" i="15"/>
  <c r="AA40" i="15"/>
  <c r="BH53" i="19"/>
  <c r="Z33" i="15"/>
  <c r="BL45" i="6"/>
  <c r="M45" i="15"/>
  <c r="BL143" i="6"/>
  <c r="BH139" i="19"/>
  <c r="BI135" i="19"/>
  <c r="X40" i="15"/>
  <c r="BM22" i="6"/>
  <c r="Z48" i="15"/>
  <c r="N37" i="15"/>
  <c r="K33" i="15"/>
  <c r="BD102" i="6"/>
  <c r="AJ53" i="15"/>
  <c r="BD23" i="6"/>
  <c r="BD145" i="6"/>
  <c r="BI65" i="19"/>
  <c r="AK55" i="15"/>
  <c r="BM119" i="6"/>
  <c r="U45" i="15"/>
  <c r="U52" i="15"/>
  <c r="AI51" i="15"/>
  <c r="BI102" i="19"/>
  <c r="T42" i="15"/>
  <c r="BL126" i="6"/>
  <c r="AH55" i="15"/>
  <c r="BE111" i="6"/>
  <c r="BH7" i="19"/>
  <c r="R35" i="15"/>
  <c r="Y41" i="15"/>
  <c r="I40" i="15"/>
  <c r="AL42" i="15"/>
  <c r="BM50" i="6"/>
  <c r="K46" i="15"/>
  <c r="P52" i="15"/>
  <c r="AM36" i="15"/>
  <c r="BE51" i="6"/>
  <c r="K47" i="15"/>
  <c r="AD37" i="15"/>
  <c r="J37" i="15"/>
  <c r="AF45" i="15"/>
  <c r="BM105" i="6"/>
  <c r="S43" i="15"/>
  <c r="P47" i="15"/>
  <c r="AG35" i="15"/>
  <c r="AB40" i="15"/>
  <c r="AM40" i="15"/>
  <c r="BH20" i="19"/>
  <c r="AZ41" i="15"/>
  <c r="AD48" i="15"/>
  <c r="BI60" i="19"/>
  <c r="AH42" i="15"/>
  <c r="BL20" i="6"/>
  <c r="BI91" i="19"/>
  <c r="BH42" i="19"/>
  <c r="S55" i="15"/>
  <c r="AD47" i="15"/>
  <c r="AC47" i="15"/>
  <c r="BL28" i="6"/>
  <c r="AE45" i="15"/>
  <c r="AJ42" i="15"/>
  <c r="U40" i="15"/>
  <c r="AL43" i="15"/>
  <c r="BM111" i="6"/>
  <c r="L34" i="15"/>
  <c r="Y33" i="15"/>
  <c r="BL113" i="6"/>
  <c r="BE102" i="6"/>
  <c r="BL51" i="6"/>
  <c r="BM13" i="6"/>
  <c r="AA41" i="15"/>
  <c r="BE109" i="6"/>
  <c r="BI73" i="19"/>
  <c r="K52" i="15"/>
  <c r="BE58" i="6"/>
  <c r="AZ34" i="15"/>
  <c r="BM24" i="6"/>
  <c r="BD88" i="6"/>
  <c r="T35" i="15"/>
  <c r="BH88" i="19"/>
  <c r="S51" i="15"/>
  <c r="J43" i="15"/>
  <c r="AL41" i="15"/>
  <c r="AK46" i="15"/>
  <c r="AW37" i="15"/>
  <c r="BI41" i="19"/>
  <c r="BI81" i="19"/>
  <c r="BD126" i="6"/>
  <c r="BH109" i="19"/>
  <c r="Y48" i="15"/>
  <c r="BD21" i="6"/>
  <c r="BD117" i="6"/>
  <c r="J52" i="15"/>
  <c r="BM15" i="6"/>
  <c r="BE42" i="6"/>
  <c r="AC45" i="15"/>
  <c r="AX55" i="15"/>
  <c r="W43" i="15"/>
  <c r="BE55" i="6"/>
  <c r="AD55" i="15"/>
  <c r="BI113" i="19"/>
  <c r="AF54" i="15"/>
  <c r="BI51" i="19"/>
  <c r="AE49" i="15"/>
  <c r="Y40" i="15"/>
  <c r="BD144" i="6"/>
  <c r="BM44" i="6"/>
  <c r="S36" i="15"/>
  <c r="BL30" i="6"/>
  <c r="BM48" i="6"/>
  <c r="AF37" i="15"/>
  <c r="BI78" i="19"/>
  <c r="BM145" i="6"/>
  <c r="P48" i="15"/>
  <c r="BM138" i="6"/>
  <c r="BL43" i="6"/>
  <c r="X46" i="15"/>
  <c r="W47" i="15"/>
  <c r="I37" i="15"/>
  <c r="BL84" i="6"/>
  <c r="O39" i="15"/>
  <c r="AN34" i="15"/>
  <c r="V33" i="15"/>
  <c r="BM61" i="6"/>
  <c r="BL21" i="6"/>
  <c r="BH39" i="19"/>
  <c r="AA49" i="15"/>
  <c r="BL105" i="6"/>
  <c r="BD52" i="6"/>
  <c r="AJ46" i="15"/>
  <c r="BE116" i="6"/>
  <c r="AY34" i="15"/>
  <c r="BH72" i="19"/>
  <c r="BE143" i="6"/>
  <c r="BH19" i="19"/>
  <c r="BI13" i="19"/>
  <c r="BH36" i="19"/>
  <c r="L52" i="15"/>
  <c r="AG46" i="15"/>
  <c r="AC48" i="15"/>
  <c r="AZ35" i="15"/>
  <c r="BH85" i="19"/>
  <c r="W53" i="15"/>
  <c r="L46" i="15"/>
  <c r="BD111" i="6"/>
  <c r="BD139" i="6"/>
  <c r="F46" i="15"/>
  <c r="BI79" i="19"/>
  <c r="Z35" i="15"/>
  <c r="BH124" i="19"/>
  <c r="W33" i="15"/>
  <c r="BE71" i="6"/>
  <c r="AH47" i="15"/>
  <c r="BL60" i="6"/>
  <c r="AD52" i="15"/>
  <c r="H35" i="15"/>
  <c r="P53" i="15"/>
  <c r="BE64" i="6"/>
  <c r="T40" i="15"/>
  <c r="BE140" i="6"/>
  <c r="R47" i="15"/>
  <c r="U51" i="15"/>
  <c r="F37" i="15"/>
  <c r="AF46" i="15"/>
  <c r="BD11" i="6"/>
  <c r="AB37" i="15"/>
  <c r="AE51" i="15"/>
  <c r="BD79" i="6"/>
  <c r="M33" i="15"/>
  <c r="BI40" i="19"/>
  <c r="BH29" i="19"/>
  <c r="BH131" i="19"/>
  <c r="BE31" i="6"/>
  <c r="J36" i="15"/>
  <c r="S34" i="15"/>
  <c r="BE28" i="6"/>
  <c r="BI54" i="19"/>
  <c r="AA51" i="15"/>
  <c r="BH71" i="19"/>
  <c r="BI130" i="19"/>
  <c r="L40" i="15"/>
  <c r="AL37" i="15"/>
  <c r="V40" i="15"/>
  <c r="BI85" i="19"/>
  <c r="BL77" i="6"/>
  <c r="AG54" i="15"/>
  <c r="N34" i="15"/>
  <c r="S35" i="15"/>
  <c r="S48" i="15"/>
  <c r="M42" i="15"/>
  <c r="BD7" i="6"/>
  <c r="BM77" i="6"/>
  <c r="AF49" i="15"/>
  <c r="BI76" i="19"/>
  <c r="BI29" i="19"/>
  <c r="BE43" i="6"/>
  <c r="AK43" i="15"/>
  <c r="AG47" i="15"/>
  <c r="BD96" i="6"/>
  <c r="AY55" i="15"/>
  <c r="BM9" i="6"/>
  <c r="I54" i="15"/>
  <c r="BM60" i="6"/>
  <c r="AH43" i="15"/>
  <c r="BI99" i="19"/>
  <c r="BI114" i="19"/>
  <c r="H37" i="15"/>
  <c r="BI141" i="19"/>
  <c r="BM96" i="6"/>
  <c r="BL72" i="6"/>
  <c r="R45" i="15"/>
  <c r="X39" i="15"/>
  <c r="BM33" i="6"/>
  <c r="AF55" i="15"/>
  <c r="C19" i="15"/>
  <c r="AI53" i="15"/>
  <c r="P45" i="15"/>
  <c r="BM34" i="6"/>
  <c r="BH128" i="19"/>
  <c r="AY51" i="15"/>
  <c r="BL124" i="6"/>
  <c r="AY52" i="15"/>
  <c r="X41" i="15"/>
  <c r="V45" i="15"/>
  <c r="BH114" i="19"/>
  <c r="BI11" i="19"/>
  <c r="BL29" i="6"/>
  <c r="BI70" i="19"/>
  <c r="P51" i="15"/>
  <c r="AJ48" i="15"/>
  <c r="AF48" i="15"/>
  <c r="BM41" i="6"/>
  <c r="N53" i="15"/>
  <c r="BI44" i="19"/>
  <c r="J49" i="15"/>
  <c r="BE69" i="6"/>
  <c r="L39" i="15"/>
  <c r="Y52" i="15"/>
  <c r="BM99" i="6"/>
  <c r="M43" i="15"/>
  <c r="BH44" i="19"/>
  <c r="BI18" i="19"/>
  <c r="C17" i="15"/>
  <c r="BL44" i="6"/>
  <c r="G46" i="15"/>
  <c r="BD13" i="6"/>
  <c r="AL46" i="15"/>
  <c r="BI27" i="19"/>
  <c r="BH126" i="19"/>
  <c r="P43" i="15"/>
  <c r="BL57" i="6"/>
  <c r="AA48" i="15"/>
  <c r="BE142" i="6"/>
  <c r="AX35" i="15" s="1"/>
  <c r="BH141" i="19"/>
  <c r="BI129" i="19"/>
  <c r="R34" i="15"/>
  <c r="T41" i="15"/>
  <c r="BE37" i="6"/>
  <c r="P49" i="15"/>
  <c r="G48" i="15"/>
  <c r="AG33" i="15"/>
  <c r="V42" i="15"/>
  <c r="BD90" i="6"/>
  <c r="Q35" i="15"/>
  <c r="BH65" i="19"/>
  <c r="AY42" i="15"/>
  <c r="X43" i="15"/>
  <c r="K45" i="15"/>
  <c r="BI67" i="19"/>
  <c r="P35" i="15"/>
  <c r="AE34" i="15"/>
  <c r="BI123" i="19"/>
  <c r="X53" i="15"/>
  <c r="W49" i="15"/>
  <c r="AY43" i="15"/>
  <c r="BL134" i="6"/>
  <c r="BL97" i="6"/>
  <c r="AF36" i="15"/>
  <c r="K34" i="15"/>
  <c r="BD107" i="6"/>
  <c r="M52" i="15"/>
  <c r="BE144" i="6"/>
  <c r="L55" i="15"/>
  <c r="AM47" i="15"/>
  <c r="Z55" i="15"/>
  <c r="AN33" i="15"/>
  <c r="Z34" i="15"/>
  <c r="BM39" i="6"/>
  <c r="BL100" i="6"/>
  <c r="AJ36" i="15"/>
  <c r="BI5" i="19"/>
  <c r="BD91" i="6"/>
  <c r="BL59" i="6"/>
  <c r="BH38" i="19"/>
  <c r="N42" i="15"/>
  <c r="BE88" i="6"/>
  <c r="S40" i="15"/>
  <c r="U42" i="15"/>
  <c r="AG37" i="15"/>
  <c r="V52" i="15"/>
  <c r="BL89" i="6"/>
  <c r="BH45" i="19"/>
  <c r="BM92" i="6"/>
  <c r="BD94" i="6"/>
  <c r="BM98" i="6"/>
  <c r="AM35" i="15"/>
  <c r="M48" i="15"/>
  <c r="BM35" i="6"/>
  <c r="V43" i="15"/>
  <c r="Y45" i="15"/>
  <c r="AK49" i="15"/>
  <c r="AC34" i="15"/>
  <c r="Q53" i="15"/>
  <c r="BL119" i="6"/>
  <c r="BL34" i="6"/>
  <c r="BE118" i="6"/>
  <c r="S53" i="15"/>
  <c r="AB49" i="15"/>
  <c r="AI47" i="15"/>
  <c r="U41" i="15"/>
  <c r="AD54" i="15"/>
  <c r="BD78" i="6"/>
  <c r="BM141" i="6"/>
  <c r="AD33" i="15"/>
  <c r="AJ34" i="15"/>
  <c r="AC33" i="15"/>
  <c r="AJ52" i="15"/>
  <c r="K35" i="15"/>
  <c r="BI97" i="19"/>
  <c r="BL12" i="6"/>
  <c r="S52" i="15"/>
  <c r="BI89" i="19"/>
  <c r="W42" i="15"/>
  <c r="AM49" i="15"/>
  <c r="BM113" i="6"/>
  <c r="V34" i="15"/>
  <c r="BL6" i="6"/>
  <c r="AF53" i="15"/>
  <c r="BI8" i="19"/>
  <c r="BM29" i="6"/>
  <c r="P54" i="15"/>
  <c r="BM128" i="6"/>
  <c r="AI39" i="15"/>
  <c r="H45" i="15"/>
  <c r="N47" i="15"/>
  <c r="N40" i="15"/>
  <c r="N43" i="15"/>
  <c r="AE55" i="15"/>
  <c r="AX51" i="15"/>
  <c r="V51" i="15"/>
  <c r="H51" i="15"/>
  <c r="AM42" i="15"/>
  <c r="W55" i="15"/>
  <c r="AN43" i="15"/>
  <c r="R48" i="15"/>
  <c r="BH21" i="19"/>
  <c r="BH60" i="19"/>
  <c r="BI120" i="19"/>
  <c r="AE47" i="15"/>
  <c r="BM120" i="6"/>
  <c r="AN36" i="15"/>
  <c r="X55" i="15"/>
  <c r="AM52" i="15"/>
  <c r="AN49" i="15"/>
  <c r="BH110" i="19"/>
  <c r="BM73" i="6"/>
  <c r="BE39" i="6"/>
  <c r="BM19" i="6"/>
  <c r="BH111" i="19"/>
  <c r="BD114" i="6"/>
  <c r="C27" i="15"/>
  <c r="BH135" i="19"/>
  <c r="Y49" i="15"/>
  <c r="BM134" i="6"/>
  <c r="BL90" i="6"/>
  <c r="C15" i="15"/>
  <c r="BH55" i="19"/>
  <c r="AB35" i="15"/>
  <c r="BI57" i="19"/>
  <c r="BE8" i="6"/>
  <c r="AD53" i="15"/>
  <c r="G45" i="15"/>
  <c r="BD136" i="6"/>
  <c r="BD112" i="6"/>
  <c r="BH120" i="19"/>
  <c r="BL78" i="6"/>
  <c r="AB41" i="15"/>
  <c r="BH138" i="19"/>
  <c r="BM20" i="6"/>
  <c r="BH59" i="19"/>
  <c r="BH129" i="19"/>
  <c r="J54" i="15"/>
  <c r="BI119" i="19"/>
  <c r="BH116" i="19"/>
  <c r="AZ45" i="15"/>
  <c r="BL70" i="6"/>
  <c r="L53" i="15"/>
  <c r="R52" i="15"/>
  <c r="BL26" i="6"/>
  <c r="AK41" i="15"/>
  <c r="BL102" i="6"/>
  <c r="BI122" i="19"/>
  <c r="Y34" i="15"/>
  <c r="BM10" i="6"/>
  <c r="AK42" i="15"/>
  <c r="BM100" i="6"/>
  <c r="J55" i="15"/>
  <c r="BI72" i="19"/>
  <c r="BH23" i="19"/>
  <c r="AK51" i="15"/>
  <c r="AC49" i="15"/>
  <c r="U53" i="15"/>
  <c r="R54" i="15"/>
  <c r="H52" i="15"/>
  <c r="R51" i="15"/>
  <c r="BH52" i="19"/>
  <c r="AC53" i="15"/>
  <c r="BD100" i="6"/>
  <c r="AF39" i="15"/>
  <c r="AW48" i="15"/>
  <c r="BI137" i="19"/>
  <c r="BI74" i="19"/>
  <c r="K42" i="15"/>
  <c r="AN45" i="15"/>
  <c r="BH64" i="19"/>
  <c r="BM26" i="6"/>
  <c r="AB33" i="15"/>
  <c r="C26" i="15"/>
  <c r="BE107" i="6"/>
  <c r="BI82" i="19"/>
  <c r="BD121" i="6"/>
  <c r="BE33" i="6"/>
  <c r="BI17" i="19"/>
  <c r="BM6" i="6"/>
  <c r="BE121" i="6"/>
  <c r="BE22" i="6"/>
  <c r="N45" i="15"/>
  <c r="BM131" i="6"/>
  <c r="BL104" i="6"/>
  <c r="Q33" i="15"/>
  <c r="BM122" i="6"/>
  <c r="BM137" i="6"/>
  <c r="M54" i="15"/>
  <c r="X36" i="15"/>
  <c r="BE63" i="6"/>
  <c r="Y46" i="15"/>
  <c r="BL81" i="6"/>
  <c r="N35" i="15"/>
  <c r="G51" i="15"/>
  <c r="AN47" i="15"/>
  <c r="BE130" i="6"/>
  <c r="BE15" i="6"/>
  <c r="R49" i="15"/>
  <c r="AN48" i="15"/>
  <c r="BH40" i="19"/>
  <c r="BL71" i="6"/>
  <c r="BH137" i="19"/>
  <c r="X54" i="15"/>
  <c r="AG53" i="15"/>
  <c r="AH34" i="15"/>
  <c r="BM130" i="6"/>
  <c r="BE73" i="6"/>
  <c r="Y54" i="15"/>
  <c r="AI37" i="15"/>
  <c r="AH54" i="15"/>
  <c r="I49" i="15"/>
  <c r="C13" i="15"/>
  <c r="AK40" i="15"/>
  <c r="BH9" i="19"/>
  <c r="Q39" i="15"/>
  <c r="BL136" i="6"/>
  <c r="BE29" i="6"/>
  <c r="BI136" i="19"/>
  <c r="BL9" i="6"/>
  <c r="BD44" i="6"/>
  <c r="BH118" i="19"/>
  <c r="BH80" i="19"/>
  <c r="AO39" i="15"/>
  <c r="AO53" i="15"/>
  <c r="AO47" i="15"/>
  <c r="BH117" i="19"/>
  <c r="BH119" i="19"/>
  <c r="BI88" i="19"/>
  <c r="BL141" i="6"/>
  <c r="BD118" i="6"/>
  <c r="AD45" i="15"/>
  <c r="AO45" i="15"/>
  <c r="AO34" i="15"/>
  <c r="AO54" i="15"/>
  <c r="L54" i="15"/>
  <c r="BH57" i="19"/>
  <c r="X33" i="15"/>
  <c r="BI21" i="19"/>
  <c r="BI138" i="19"/>
  <c r="BL128" i="6"/>
  <c r="AJ33" i="15"/>
  <c r="BM144" i="6"/>
  <c r="BE9" i="6"/>
  <c r="BE139" i="6"/>
  <c r="AE33" i="15"/>
  <c r="BL129" i="6"/>
  <c r="BL125" i="6"/>
  <c r="O48" i="15"/>
  <c r="BM83" i="6"/>
  <c r="BI10" i="19"/>
  <c r="AL55" i="15"/>
  <c r="AY54" i="15"/>
  <c r="BI59" i="19"/>
  <c r="V35" i="15"/>
  <c r="BH132" i="19"/>
  <c r="W41" i="15"/>
  <c r="H48" i="15"/>
  <c r="BI26" i="19"/>
  <c r="AI35" i="15"/>
  <c r="BM135" i="6"/>
  <c r="BH113" i="19"/>
  <c r="R41" i="15"/>
  <c r="Q51" i="15"/>
  <c r="BM54" i="6"/>
  <c r="F48" i="15"/>
  <c r="BH144" i="19"/>
  <c r="BM49" i="6"/>
  <c r="BH142" i="19"/>
  <c r="Z53" i="15"/>
  <c r="M47" i="15"/>
  <c r="AH40" i="15"/>
  <c r="K51" i="15"/>
  <c r="BL8" i="6"/>
  <c r="BM46" i="6"/>
  <c r="BD42" i="6"/>
  <c r="BD97" i="6"/>
  <c r="M41" i="15"/>
  <c r="R33" i="15"/>
  <c r="L45" i="15"/>
  <c r="BE40" i="6"/>
  <c r="K40" i="15"/>
  <c r="O55" i="15"/>
  <c r="BH102" i="19"/>
  <c r="Z40" i="15"/>
  <c r="Q37" i="15"/>
  <c r="BM11" i="6"/>
  <c r="AG42" i="15"/>
  <c r="BI12" i="19"/>
  <c r="BM53" i="6"/>
  <c r="BD137" i="6"/>
  <c r="AG45" i="15"/>
  <c r="AL40" i="15"/>
  <c r="BH84" i="19"/>
  <c r="AN40" i="15"/>
  <c r="AK35" i="15"/>
  <c r="AN55" i="15"/>
  <c r="U43" i="15"/>
  <c r="AA53" i="15"/>
  <c r="BI144" i="19"/>
  <c r="BH140" i="19"/>
  <c r="AI34" i="15"/>
  <c r="AH51" i="15"/>
  <c r="BH5" i="19"/>
  <c r="BD20" i="6"/>
  <c r="BH112" i="19"/>
  <c r="BL63" i="6"/>
  <c r="BE89" i="6"/>
  <c r="AG51" i="15"/>
  <c r="BI63" i="19"/>
  <c r="AX45" i="15"/>
  <c r="Y53" i="15"/>
  <c r="BD89" i="6"/>
  <c r="AW39" i="15"/>
  <c r="BD43" i="6"/>
  <c r="U47" i="15"/>
  <c r="H49" i="15"/>
  <c r="BL73" i="6"/>
  <c r="M53" i="15"/>
  <c r="AL35" i="15"/>
  <c r="O36" i="15"/>
  <c r="T49" i="15"/>
  <c r="AN41" i="15"/>
  <c r="BL82" i="6"/>
  <c r="AA35" i="15"/>
  <c r="C21" i="15"/>
  <c r="AN37" i="15"/>
  <c r="AW46" i="15"/>
  <c r="AN42" i="15"/>
  <c r="T46" i="15"/>
  <c r="AG49" i="15"/>
  <c r="BD5" i="6"/>
  <c r="BI112" i="19"/>
  <c r="BM45" i="6"/>
  <c r="BI58" i="19"/>
  <c r="BH37" i="19"/>
  <c r="BM97" i="6"/>
  <c r="K39" i="15"/>
  <c r="E49" i="15"/>
  <c r="U46" i="15"/>
  <c r="BH58" i="19"/>
  <c r="BI52" i="19"/>
  <c r="BM140" i="6"/>
  <c r="AD39" i="15"/>
  <c r="AO35" i="15"/>
  <c r="BL13" i="6"/>
  <c r="BM58" i="6"/>
  <c r="P39" i="15"/>
  <c r="M34" i="15"/>
  <c r="BH34" i="19"/>
  <c r="AE37" i="15"/>
  <c r="BI125" i="19"/>
  <c r="BH14" i="19"/>
  <c r="BL112" i="6"/>
  <c r="BE11" i="6"/>
  <c r="BL131" i="6"/>
  <c r="BM129" i="6"/>
  <c r="Q49" i="15"/>
  <c r="BM87" i="6"/>
  <c r="AC51" i="15"/>
  <c r="BL139" i="6"/>
  <c r="M51" i="15"/>
  <c r="BD83" i="6"/>
  <c r="BH143" i="19"/>
  <c r="BL50" i="6"/>
  <c r="BH46" i="19"/>
  <c r="O37" i="15"/>
  <c r="F34" i="15"/>
  <c r="AJ37" i="15"/>
  <c r="AM51" i="15"/>
  <c r="BI34" i="19"/>
  <c r="Q42" i="15"/>
  <c r="T48" i="15"/>
  <c r="BE115" i="6"/>
  <c r="BL85" i="6"/>
  <c r="BL23" i="6"/>
  <c r="AD35" i="15"/>
  <c r="AE36" i="15"/>
  <c r="BE24" i="6"/>
  <c r="BH123" i="19"/>
  <c r="G37" i="15"/>
  <c r="BL41" i="6"/>
  <c r="BD60" i="6"/>
  <c r="BH56" i="19"/>
  <c r="L42" i="15"/>
  <c r="BL130" i="6"/>
  <c r="E48" i="15"/>
  <c r="Y43" i="15"/>
  <c r="AH36" i="15"/>
  <c r="BI124" i="19"/>
  <c r="Z39" i="15"/>
  <c r="H40" i="15"/>
  <c r="BM55" i="6"/>
  <c r="O33" i="15"/>
  <c r="BI94" i="19"/>
  <c r="BI100" i="19"/>
  <c r="BL52" i="6"/>
  <c r="BD135" i="6"/>
  <c r="AL33" i="15"/>
  <c r="H34" i="15"/>
  <c r="AW51" i="15"/>
  <c r="BM69" i="6"/>
  <c r="BM51" i="6"/>
  <c r="M55" i="15"/>
  <c r="AK47" i="15"/>
  <c r="O49" i="15"/>
  <c r="BM104" i="6"/>
  <c r="BL27" i="6"/>
  <c r="AD41" i="15"/>
  <c r="AD51" i="15"/>
  <c r="BE92" i="6"/>
  <c r="W52" i="15"/>
  <c r="T47" i="15"/>
  <c r="BD63" i="6"/>
  <c r="BI22" i="19"/>
  <c r="K36" i="15"/>
  <c r="AB45" i="15"/>
  <c r="BM101" i="6"/>
  <c r="BD141" i="6"/>
  <c r="BH30" i="19"/>
  <c r="BM132" i="6"/>
  <c r="J42" i="15"/>
  <c r="BH22" i="19"/>
  <c r="BE120" i="6"/>
  <c r="BD54" i="6"/>
  <c r="BE14" i="6"/>
  <c r="AM53" i="15"/>
  <c r="BM109" i="6"/>
  <c r="AI46" i="15"/>
  <c r="O43" i="15"/>
  <c r="N55" i="15"/>
  <c r="Y55" i="15"/>
  <c r="BL39" i="6"/>
  <c r="AD34" i="15"/>
  <c r="AN51" i="15"/>
  <c r="BH73" i="19"/>
  <c r="N36" i="15"/>
  <c r="V37" i="15"/>
  <c r="Z45" i="15"/>
  <c r="BI121" i="19"/>
  <c r="U36" i="15"/>
  <c r="BL19" i="6"/>
  <c r="AF40" i="15"/>
  <c r="BE119" i="6"/>
  <c r="AJ47" i="15"/>
  <c r="BL76" i="6"/>
  <c r="U48" i="15"/>
  <c r="C20" i="15"/>
  <c r="BI56" i="19"/>
  <c r="BM52" i="6"/>
  <c r="K54" i="15"/>
  <c r="AF34" i="15"/>
  <c r="AY49" i="15"/>
  <c r="AX43" i="15"/>
  <c r="BM64" i="6"/>
  <c r="AC39" i="15"/>
  <c r="AO51" i="15"/>
  <c r="AW45" i="15"/>
  <c r="BI30" i="19"/>
  <c r="AL36" i="15"/>
  <c r="R40" i="15"/>
  <c r="BL92" i="6"/>
  <c r="Z36" i="15"/>
  <c r="X37" i="15"/>
  <c r="BI126" i="19"/>
  <c r="J47" i="15"/>
  <c r="K41" i="15"/>
  <c r="Y35" i="15"/>
  <c r="AJ39" i="15"/>
  <c r="BM118" i="6"/>
  <c r="U34" i="15"/>
  <c r="AE48" i="15"/>
  <c r="AZ40" i="15"/>
  <c r="BL116" i="6"/>
  <c r="BI55" i="19"/>
  <c r="BM121" i="6"/>
  <c r="V47" i="15"/>
  <c r="BH96" i="19"/>
  <c r="BL98" i="6"/>
  <c r="I48" i="15"/>
  <c r="T45" i="15"/>
  <c r="AW49" i="15"/>
  <c r="BE145" i="6"/>
  <c r="BH27" i="19"/>
  <c r="BM5" i="6"/>
  <c r="BM70" i="6"/>
  <c r="Z49" i="15"/>
  <c r="BI16" i="19"/>
  <c r="AM33" i="15"/>
  <c r="BL145" i="6"/>
  <c r="R42" i="15"/>
  <c r="AM45" i="15"/>
  <c r="BE52" i="6"/>
  <c r="AX41" i="15"/>
  <c r="Q47" i="15"/>
  <c r="BD82" i="6"/>
  <c r="X51" i="15"/>
  <c r="AJ55" i="15"/>
  <c r="AK45" i="15"/>
  <c r="AH48" i="15"/>
  <c r="BH43" i="19"/>
  <c r="AB55" i="15"/>
  <c r="BL10" i="6"/>
  <c r="BH74" i="19"/>
  <c r="N52" i="15"/>
  <c r="BL14" i="6"/>
  <c r="BH94" i="19"/>
  <c r="I52" i="15"/>
  <c r="BL106" i="6"/>
  <c r="H39" i="15"/>
  <c r="AK48" i="15"/>
  <c r="L33" i="15"/>
  <c r="J34" i="15"/>
  <c r="T51" i="15"/>
  <c r="BH11" i="19"/>
  <c r="Z43" i="15"/>
  <c r="BM123" i="6"/>
  <c r="BM89" i="6"/>
  <c r="BL18" i="6"/>
  <c r="BI132" i="19"/>
  <c r="N41" i="15"/>
  <c r="BE54" i="6"/>
  <c r="AI54" i="15"/>
  <c r="BH76" i="19"/>
  <c r="BL123" i="6"/>
  <c r="AF51" i="15"/>
  <c r="M49" i="15"/>
  <c r="W51" i="15"/>
  <c r="T54" i="15"/>
  <c r="AI41" i="15"/>
  <c r="U35" i="15"/>
  <c r="BM88" i="6"/>
  <c r="BI109" i="19"/>
  <c r="R46" i="15"/>
  <c r="BE17" i="6"/>
  <c r="AA47" i="15"/>
  <c r="BE129" i="6"/>
  <c r="BH91" i="19"/>
  <c r="BE91" i="6"/>
  <c r="AH45" i="15"/>
  <c r="BM36" i="6"/>
  <c r="AG52" i="15"/>
  <c r="O35" i="15"/>
  <c r="AC46" i="15"/>
  <c r="H42" i="15"/>
  <c r="AB34" i="15"/>
  <c r="AD40" i="15"/>
  <c r="S37" i="15"/>
  <c r="AI45" i="15"/>
  <c r="AX47" i="15"/>
  <c r="BI9" i="19"/>
  <c r="BI33" i="19"/>
  <c r="BM143" i="6"/>
  <c r="AL45" i="15"/>
  <c r="BH90" i="19"/>
  <c r="BL144" i="6"/>
  <c r="BE96" i="6"/>
  <c r="Y37" i="15"/>
  <c r="AD49" i="15"/>
  <c r="BD138" i="6"/>
  <c r="W48" i="15"/>
  <c r="H46" i="15"/>
  <c r="BL117" i="6"/>
  <c r="AE53" i="15"/>
  <c r="BM90" i="6"/>
  <c r="BH98" i="19"/>
  <c r="BD67" i="6"/>
  <c r="AK36" i="15"/>
  <c r="AY40" i="15"/>
  <c r="N51" i="15"/>
  <c r="J45" i="15"/>
  <c r="K48" i="15"/>
  <c r="BM21" i="6"/>
  <c r="AP33" i="15"/>
  <c r="AO41" i="15"/>
  <c r="AL48" i="15"/>
  <c r="O46" i="15"/>
  <c r="AX36" i="15"/>
  <c r="BL65" i="6"/>
  <c r="BH89" i="19"/>
  <c r="AL52" i="15"/>
  <c r="AK53" i="15"/>
  <c r="BH69" i="19"/>
  <c r="BL79" i="6"/>
  <c r="BI105" i="19"/>
  <c r="BI107" i="19"/>
  <c r="AG48" i="15"/>
  <c r="BM71" i="6"/>
  <c r="K53" i="15"/>
  <c r="AA52" i="15"/>
  <c r="H54" i="15"/>
  <c r="AH35" i="15"/>
  <c r="BH77" i="19"/>
  <c r="AY33" i="15"/>
  <c r="BL115" i="6"/>
  <c r="BE53" i="6"/>
  <c r="BD28" i="6"/>
  <c r="BM116" i="6"/>
  <c r="BL58" i="6"/>
  <c r="E37" i="15"/>
  <c r="BD115" i="6"/>
  <c r="BD110" i="6"/>
  <c r="AL54" i="15"/>
  <c r="BL109" i="6"/>
  <c r="AM37" i="15"/>
  <c r="AC52" i="15"/>
  <c r="BI37" i="19"/>
  <c r="BM126" i="6"/>
  <c r="AA37" i="15"/>
  <c r="BL69" i="6"/>
  <c r="BL49" i="6"/>
  <c r="AG36" i="15"/>
  <c r="BL5" i="6"/>
  <c r="AH37" i="15"/>
  <c r="AJ43" i="15"/>
  <c r="BH82" i="19"/>
  <c r="BI106" i="19"/>
  <c r="BD134" i="6"/>
  <c r="BL56" i="6"/>
  <c r="BD77" i="6"/>
  <c r="M35" i="15"/>
  <c r="AK39" i="15"/>
  <c r="I33" i="15"/>
  <c r="BI84" i="19"/>
  <c r="C24" i="15"/>
  <c r="BL132" i="6"/>
  <c r="Z41" i="15"/>
  <c r="AJ51" i="15"/>
  <c r="BI23" i="19"/>
  <c r="J35" i="15"/>
  <c r="AE40" i="15"/>
  <c r="V53" i="15"/>
  <c r="AC37" i="15"/>
  <c r="AA34" i="15"/>
  <c r="AH46" i="15"/>
  <c r="BH51" i="19"/>
  <c r="BD130" i="6"/>
  <c r="AA33" i="15"/>
  <c r="BM7" i="6"/>
  <c r="S47" i="15"/>
  <c r="S45" i="15"/>
  <c r="BM136" i="6"/>
  <c r="C25" i="15"/>
  <c r="BM17" i="6"/>
  <c r="Q55" i="15"/>
  <c r="BM81" i="6"/>
  <c r="AN35" i="15"/>
  <c r="BI116" i="19"/>
  <c r="BD143" i="6"/>
  <c r="BD18" i="6"/>
  <c r="BH105" i="19"/>
  <c r="BL36" i="6"/>
  <c r="BE104" i="6"/>
  <c r="AM43" i="15"/>
  <c r="O52" i="15"/>
  <c r="AN39" i="15"/>
  <c r="S46" i="15"/>
  <c r="BI46" i="19"/>
  <c r="Q41" i="15"/>
  <c r="BL55" i="6"/>
  <c r="BM94" i="6"/>
  <c r="BI20" i="19"/>
  <c r="AD46" i="15"/>
  <c r="BD120" i="6"/>
  <c r="AJ54" i="15"/>
  <c r="AI40" i="15"/>
  <c r="R37" i="15"/>
  <c r="U39" i="15"/>
  <c r="AI33" i="15"/>
  <c r="AG40" i="15"/>
  <c r="BD84" i="6"/>
  <c r="BM107" i="6"/>
  <c r="V36" i="15"/>
  <c r="BE72" i="6"/>
  <c r="BH12" i="19"/>
  <c r="X42" i="15"/>
  <c r="V55" i="15"/>
  <c r="AJ41" i="15"/>
  <c r="BH78" i="19"/>
  <c r="BI101" i="19"/>
  <c r="AH39" i="15"/>
  <c r="L43" i="15"/>
  <c r="BI64" i="19"/>
  <c r="AE52" i="15"/>
  <c r="BL17" i="6"/>
  <c r="BM139" i="6"/>
  <c r="BL80" i="6"/>
  <c r="C11" i="15"/>
  <c r="X49" i="15"/>
  <c r="BI28" i="19"/>
  <c r="BH6" i="19"/>
  <c r="AZ37" i="15"/>
  <c r="Z47" i="15"/>
  <c r="AH53" i="15"/>
  <c r="K55" i="15"/>
  <c r="Q52" i="15"/>
  <c r="W45" i="15"/>
  <c r="BI90" i="19"/>
  <c r="P42" i="15"/>
  <c r="BD61" i="6"/>
  <c r="Q34" i="15"/>
  <c r="X45" i="15"/>
  <c r="AM39" i="15"/>
  <c r="N54" i="15"/>
  <c r="AY53" i="15"/>
  <c r="BE114" i="6"/>
  <c r="AX49" i="15" s="1"/>
  <c r="Y47" i="15"/>
  <c r="AX52" i="15"/>
  <c r="L49" i="15"/>
  <c r="BL101" i="6"/>
  <c r="BL15" i="6"/>
  <c r="R36" i="15"/>
  <c r="S33" i="15"/>
  <c r="BL94" i="6"/>
  <c r="AI36" i="15"/>
  <c r="BE41" i="6"/>
  <c r="BM79" i="6"/>
  <c r="BL91" i="6"/>
  <c r="AX39" i="15"/>
  <c r="AF43" i="15"/>
  <c r="P37" i="15"/>
  <c r="V48" i="15"/>
  <c r="BD25" i="6"/>
  <c r="AB36" i="15"/>
  <c r="N39" i="15"/>
  <c r="AC40" i="15"/>
  <c r="R39" i="15"/>
  <c r="BL74" i="6"/>
  <c r="BI87" i="19"/>
  <c r="BI38" i="19"/>
  <c r="Y42" i="15"/>
  <c r="BM114" i="6"/>
  <c r="X35" i="15"/>
  <c r="BE70" i="6"/>
  <c r="AK54" i="15"/>
  <c r="BH28" i="19"/>
  <c r="BM67" i="6"/>
  <c r="AE46" i="15"/>
  <c r="BH125" i="19"/>
  <c r="BM78" i="6"/>
  <c r="AD43" i="15"/>
  <c r="AZ33" i="15"/>
  <c r="AC36" i="15"/>
  <c r="V39" i="15"/>
  <c r="BE49" i="6"/>
  <c r="BI7" i="19"/>
  <c r="O34" i="15"/>
  <c r="BH16" i="19"/>
  <c r="Z46" i="15"/>
  <c r="C12" i="15"/>
  <c r="AY46" i="15"/>
  <c r="BL110" i="6"/>
  <c r="Q36" i="15"/>
  <c r="BM65" i="6"/>
  <c r="BD104" i="6"/>
  <c r="T43" i="15"/>
  <c r="BL38" i="6"/>
  <c r="L37" i="15"/>
  <c r="I55" i="15"/>
  <c r="BE59" i="6"/>
  <c r="P46" i="15"/>
  <c r="BH107" i="19"/>
  <c r="BE61" i="6"/>
  <c r="AY41" i="15"/>
  <c r="AL51" i="15"/>
  <c r="BH145" i="19"/>
  <c r="BH92" i="19"/>
  <c r="BH81" i="19"/>
  <c r="AL49" i="15"/>
  <c r="AZ36" i="15"/>
  <c r="BH41" i="19"/>
  <c r="BL22" i="6"/>
  <c r="AZ53" i="15"/>
  <c r="AY45" i="15"/>
  <c r="AW53" i="15"/>
  <c r="AC55" i="15"/>
  <c r="BM74" i="6"/>
  <c r="AG41" i="15"/>
  <c r="BM16" i="6"/>
  <c r="BL118" i="6"/>
  <c r="AW34" i="15"/>
  <c r="L47" i="15"/>
  <c r="AN53" i="15"/>
  <c r="BM106" i="6"/>
  <c r="AW43" i="15"/>
  <c r="BE27" i="6"/>
  <c r="S39" i="15"/>
  <c r="AB46" i="15"/>
  <c r="L41" i="15"/>
  <c r="BL42" i="6"/>
  <c r="AE39" i="15"/>
  <c r="BD85" i="6"/>
  <c r="Z54" i="15"/>
  <c r="AY39" i="15"/>
  <c r="AO37" i="15"/>
  <c r="AO42" i="15"/>
  <c r="AO46" i="15"/>
  <c r="AW52" i="15"/>
  <c r="BE19" i="6"/>
  <c r="BD106" i="6"/>
  <c r="BM72" i="6"/>
  <c r="T36" i="15"/>
  <c r="BH121" i="19"/>
  <c r="BE45" i="6"/>
  <c r="BM27" i="6"/>
  <c r="C23" i="15"/>
  <c r="BL96" i="6"/>
  <c r="BM91" i="6"/>
  <c r="AG39" i="15"/>
  <c r="V41" i="15"/>
  <c r="S54" i="15"/>
  <c r="AC43" i="15"/>
  <c r="Q45" i="15"/>
  <c r="W46" i="15"/>
  <c r="BI77" i="19"/>
  <c r="BD87" i="6"/>
  <c r="BL37" i="6"/>
  <c r="BH104" i="19"/>
  <c r="W40" i="15"/>
  <c r="T52" i="15"/>
  <c r="AA55" i="15"/>
  <c r="BD12" i="6"/>
  <c r="AY47" i="15"/>
  <c r="BD124" i="6"/>
  <c r="O42" i="15"/>
  <c r="BE105" i="6"/>
  <c r="BM63" i="6"/>
  <c r="BM110" i="6"/>
  <c r="BI42" i="19"/>
  <c r="AA45" i="15"/>
  <c r="BD24" i="6"/>
  <c r="BE113" i="6"/>
  <c r="W34" i="15"/>
  <c r="V49" i="15"/>
  <c r="AM41" i="15"/>
  <c r="BH67" i="19"/>
  <c r="J40" i="15"/>
  <c r="BL122" i="6"/>
  <c r="W36" i="15"/>
  <c r="G39" i="15"/>
  <c r="BL33" i="6"/>
  <c r="BI49" i="19"/>
  <c r="BI53" i="19"/>
  <c r="K43" i="15"/>
  <c r="BD50" i="6"/>
  <c r="BL83" i="6"/>
  <c r="BH134" i="19"/>
  <c r="BH130" i="19"/>
  <c r="BD49" i="6"/>
  <c r="U54" i="15"/>
  <c r="T55" i="15"/>
  <c r="AA36" i="15"/>
  <c r="X34" i="15"/>
  <c r="BH122" i="19"/>
  <c r="BI36" i="19"/>
  <c r="AD42" i="15"/>
  <c r="AK37" i="15"/>
  <c r="BH54" i="19"/>
  <c r="BE23" i="6"/>
  <c r="S41" i="15"/>
  <c r="AI49" i="15"/>
  <c r="BD142" i="6"/>
  <c r="AD36" i="15"/>
  <c r="BL64" i="6"/>
  <c r="O45" i="15"/>
  <c r="AJ45" i="15"/>
  <c r="AC54" i="15"/>
  <c r="AA54" i="15"/>
  <c r="AH49" i="15"/>
  <c r="U37" i="15"/>
  <c r="BH136" i="19"/>
  <c r="BI143" i="19"/>
  <c r="AK33" i="15"/>
  <c r="BL7" i="6"/>
  <c r="I51" i="15"/>
  <c r="BE57" i="6"/>
  <c r="BL107" i="6"/>
  <c r="X52" i="15"/>
  <c r="BM30" i="6"/>
  <c r="AF35" i="15"/>
  <c r="AZ42" i="15"/>
  <c r="BD64" i="6"/>
  <c r="Q48" i="15"/>
  <c r="AX34" i="15"/>
  <c r="AM34" i="15"/>
  <c r="BH83" i="19"/>
  <c r="BE56" i="6"/>
  <c r="Q54" i="15"/>
  <c r="BM12" i="6"/>
  <c r="BM82" i="6"/>
  <c r="BI24" i="19"/>
  <c r="AI42" i="15"/>
  <c r="BI118" i="19"/>
  <c r="BD15" i="6"/>
  <c r="R43" i="15"/>
  <c r="T39" i="15"/>
  <c r="AN46" i="15"/>
  <c r="R55" i="15"/>
  <c r="BM40" i="6"/>
  <c r="J46" i="15"/>
  <c r="AN52" i="15"/>
  <c r="Z51" i="15"/>
  <c r="BD92" i="6"/>
  <c r="BI140" i="19"/>
  <c r="BL35" i="6"/>
  <c r="M46" i="15"/>
  <c r="BD140" i="6"/>
  <c r="J33" i="15"/>
  <c r="AM46" i="15"/>
  <c r="BD19" i="6"/>
  <c r="AL39" i="15"/>
  <c r="BI128" i="19"/>
  <c r="AY35" i="15"/>
  <c r="AO40" i="15"/>
  <c r="AO43" i="15"/>
  <c r="AO55" i="15"/>
  <c r="AW54" i="15"/>
  <c r="AE35" i="15"/>
  <c r="BD9" i="6"/>
  <c r="I39" i="15"/>
  <c r="AY36" i="15"/>
  <c r="BI145" i="19"/>
  <c r="K37" i="15"/>
  <c r="BI83" i="19"/>
  <c r="O40" i="15"/>
  <c r="BE74" i="6"/>
  <c r="BH100" i="19"/>
  <c r="AX48" i="15"/>
  <c r="P34" i="15"/>
  <c r="AO36" i="15"/>
  <c r="BH61" i="19"/>
  <c r="AW42" i="15"/>
  <c r="BM42" i="6"/>
  <c r="AO52" i="15"/>
  <c r="BI50" i="19"/>
  <c r="AO48" i="15"/>
  <c r="Y39" i="15"/>
  <c r="AO49" i="15"/>
  <c r="X47" i="15"/>
  <c r="AX53" i="15"/>
  <c r="AQ33" i="15"/>
  <c r="AP39" i="15"/>
  <c r="AP35" i="15"/>
  <c r="AP47" i="15"/>
  <c r="AP45" i="15"/>
  <c r="AP42" i="15"/>
  <c r="AP54" i="15"/>
  <c r="AP41" i="15"/>
  <c r="AP51" i="15"/>
  <c r="AP34" i="15"/>
  <c r="AP46" i="15"/>
  <c r="AX40" i="15"/>
  <c r="AP40" i="15"/>
  <c r="AP43" i="15"/>
  <c r="AP37" i="15"/>
  <c r="AP49" i="15"/>
  <c r="AP52" i="15"/>
  <c r="AP55" i="15"/>
  <c r="AP36" i="15"/>
  <c r="AX46" i="15"/>
  <c r="AP53" i="15"/>
  <c r="AP48" i="15"/>
  <c r="AW40" i="15"/>
  <c r="AW47" i="15"/>
  <c r="AW55" i="15"/>
  <c r="AW35" i="15"/>
  <c r="X19" i="15" l="1"/>
  <c r="AO21" i="15"/>
  <c r="Y11" i="15"/>
  <c r="AO20" i="15"/>
  <c r="AO24" i="15"/>
  <c r="AO8" i="15"/>
  <c r="P6" i="15"/>
  <c r="BK74" i="6"/>
  <c r="O12" i="15"/>
  <c r="K9" i="15"/>
  <c r="I11" i="15"/>
  <c r="BK9" i="6"/>
  <c r="AE7" i="15"/>
  <c r="AO27" i="15"/>
  <c r="AO15" i="15"/>
  <c r="AO12" i="15"/>
  <c r="AY7" i="15"/>
  <c r="AL11" i="15"/>
  <c r="BK19" i="6"/>
  <c r="AM18" i="15"/>
  <c r="J5" i="15"/>
  <c r="BK140" i="6"/>
  <c r="M18" i="15"/>
  <c r="BK92" i="6"/>
  <c r="Z23" i="15"/>
  <c r="AN24" i="15"/>
  <c r="J18" i="15"/>
  <c r="R27" i="15"/>
  <c r="AN18" i="15"/>
  <c r="T11" i="15"/>
  <c r="R15" i="15"/>
  <c r="BK15" i="6"/>
  <c r="AI14" i="15"/>
  <c r="Q26" i="15"/>
  <c r="BK56" i="6"/>
  <c r="AM6" i="15"/>
  <c r="Q20" i="15"/>
  <c r="BK64" i="6"/>
  <c r="AZ14" i="15"/>
  <c r="AF7" i="15"/>
  <c r="X24" i="15"/>
  <c r="BK57" i="6"/>
  <c r="I23" i="15"/>
  <c r="AK5" i="15"/>
  <c r="U9" i="15"/>
  <c r="AH21" i="15"/>
  <c r="AA26" i="15"/>
  <c r="AC26" i="15"/>
  <c r="AJ17" i="15"/>
  <c r="O17" i="15"/>
  <c r="AD8" i="15"/>
  <c r="BK142" i="6"/>
  <c r="AI21" i="15"/>
  <c r="S13" i="15"/>
  <c r="AK9" i="15"/>
  <c r="AD14" i="15"/>
  <c r="X6" i="15"/>
  <c r="AA8" i="15"/>
  <c r="T27" i="15"/>
  <c r="U26" i="15"/>
  <c r="BK49" i="6"/>
  <c r="BK50" i="6"/>
  <c r="K15" i="15"/>
  <c r="G11" i="15"/>
  <c r="W8" i="15"/>
  <c r="J12" i="15"/>
  <c r="AM13" i="15"/>
  <c r="V21" i="15"/>
  <c r="W6" i="15"/>
  <c r="BK113" i="6"/>
  <c r="BK24" i="6"/>
  <c r="AA17" i="15"/>
  <c r="O14" i="15"/>
  <c r="BK124" i="6"/>
  <c r="BK12" i="6"/>
  <c r="AA27" i="15"/>
  <c r="T24" i="15"/>
  <c r="W12" i="15"/>
  <c r="BK87" i="6"/>
  <c r="W18" i="15"/>
  <c r="Q17" i="15"/>
  <c r="AC15" i="15"/>
  <c r="S26" i="15"/>
  <c r="V13" i="15"/>
  <c r="AG11" i="15"/>
  <c r="C51" i="15"/>
  <c r="BK45" i="6"/>
  <c r="T8" i="15"/>
  <c r="BK106" i="6"/>
  <c r="AO18" i="15"/>
  <c r="AO14" i="15"/>
  <c r="AO9" i="15"/>
  <c r="Z26" i="15"/>
  <c r="BK85" i="6"/>
  <c r="AE11" i="15"/>
  <c r="L13" i="15"/>
  <c r="AB18" i="15"/>
  <c r="S11" i="15"/>
  <c r="AN25" i="15"/>
  <c r="L19" i="15"/>
  <c r="AG13" i="15"/>
  <c r="AC27" i="15"/>
  <c r="AY17" i="15"/>
  <c r="AL21" i="15"/>
  <c r="AL23" i="15"/>
  <c r="P18" i="15"/>
  <c r="BK59" i="6"/>
  <c r="I27" i="15"/>
  <c r="L9" i="15"/>
  <c r="T15" i="15"/>
  <c r="BK104" i="6"/>
  <c r="Q8" i="15"/>
  <c r="C40" i="15"/>
  <c r="Z18" i="15"/>
  <c r="O6" i="15"/>
  <c r="V11" i="15"/>
  <c r="AC8" i="15"/>
  <c r="AD15" i="15"/>
  <c r="AE18" i="15"/>
  <c r="AK26" i="15"/>
  <c r="BK70" i="6"/>
  <c r="X7" i="15"/>
  <c r="Y14" i="15"/>
  <c r="R11" i="15"/>
  <c r="AC12" i="15"/>
  <c r="N11" i="15"/>
  <c r="AB8" i="15"/>
  <c r="BK25" i="6"/>
  <c r="V20" i="15"/>
  <c r="P9" i="15"/>
  <c r="AF15" i="15"/>
  <c r="BK41" i="6"/>
  <c r="AI8" i="15"/>
  <c r="S5" i="15"/>
  <c r="R8" i="15"/>
  <c r="L21" i="15"/>
  <c r="Y19" i="15"/>
  <c r="AY25" i="15"/>
  <c r="N26" i="15"/>
  <c r="AM11" i="15"/>
  <c r="X17" i="15"/>
  <c r="Q6" i="15"/>
  <c r="BK61" i="6"/>
  <c r="P14" i="15"/>
  <c r="W17" i="15"/>
  <c r="Q24" i="15"/>
  <c r="K27" i="15"/>
  <c r="AH25" i="15"/>
  <c r="Z19" i="15"/>
  <c r="X21" i="15"/>
  <c r="C39" i="15"/>
  <c r="AE24" i="15"/>
  <c r="L15" i="15"/>
  <c r="AH11" i="15"/>
  <c r="AJ13" i="15"/>
  <c r="V27" i="15"/>
  <c r="X14" i="15"/>
  <c r="BK72" i="6"/>
  <c r="V8" i="15"/>
  <c r="BK84" i="6"/>
  <c r="AG12" i="15"/>
  <c r="AI5" i="15"/>
  <c r="U11" i="15"/>
  <c r="R9" i="15"/>
  <c r="AI12" i="15"/>
  <c r="AJ26" i="15"/>
  <c r="BK120" i="6"/>
  <c r="AD18" i="15"/>
  <c r="Q13" i="15"/>
  <c r="S18" i="15"/>
  <c r="AN11" i="15"/>
  <c r="O24" i="15"/>
  <c r="AM15" i="15"/>
  <c r="BK18" i="6"/>
  <c r="BK143" i="6"/>
  <c r="AN7" i="15"/>
  <c r="Q27" i="15"/>
  <c r="C53" i="15"/>
  <c r="S17" i="15"/>
  <c r="S19" i="15"/>
  <c r="AA5" i="15"/>
  <c r="BK130" i="6"/>
  <c r="AH18" i="15"/>
  <c r="AA6" i="15"/>
  <c r="AC9" i="15"/>
  <c r="V25" i="15"/>
  <c r="AE12" i="15"/>
  <c r="J7" i="15"/>
  <c r="AJ23" i="15"/>
  <c r="Z13" i="15"/>
  <c r="C52" i="15"/>
  <c r="I5" i="15"/>
  <c r="AK11" i="15"/>
  <c r="M7" i="15"/>
  <c r="BK77" i="6"/>
  <c r="BK134" i="6"/>
  <c r="AJ15" i="15"/>
  <c r="AH9" i="15"/>
  <c r="AG8" i="15"/>
  <c r="AA9" i="15"/>
  <c r="AC24" i="15"/>
  <c r="AM9" i="15"/>
  <c r="AL26" i="15"/>
  <c r="BK110" i="6"/>
  <c r="BK115" i="6"/>
  <c r="M9" i="15"/>
  <c r="E9" i="15"/>
  <c r="BK28" i="6"/>
  <c r="BK53" i="6"/>
  <c r="AH7" i="15"/>
  <c r="H26" i="15"/>
  <c r="AA24" i="15"/>
  <c r="K25" i="15"/>
  <c r="AG20" i="15"/>
  <c r="AK25" i="15"/>
  <c r="AL24" i="15"/>
  <c r="O18" i="15"/>
  <c r="AL20" i="15"/>
  <c r="AO13" i="15"/>
  <c r="AP5" i="15"/>
  <c r="K20" i="15"/>
  <c r="J17" i="15"/>
  <c r="N23" i="15"/>
  <c r="AK8" i="15"/>
  <c r="BK67" i="6"/>
  <c r="AE25" i="15"/>
  <c r="H18" i="15"/>
  <c r="W20" i="15"/>
  <c r="BK138" i="6"/>
  <c r="AD21" i="15"/>
  <c r="Y9" i="15"/>
  <c r="AL17" i="15"/>
  <c r="AI17" i="15"/>
  <c r="S9" i="15"/>
  <c r="AD12" i="15"/>
  <c r="AB6" i="15"/>
  <c r="H14" i="15"/>
  <c r="AC18" i="15"/>
  <c r="O7" i="15"/>
  <c r="AG24" i="15"/>
  <c r="AH17" i="15"/>
  <c r="AA19" i="15"/>
  <c r="BK17" i="6"/>
  <c r="R18" i="15"/>
  <c r="U7" i="15"/>
  <c r="AI13" i="15"/>
  <c r="T26" i="15"/>
  <c r="W23" i="15"/>
  <c r="M21" i="15"/>
  <c r="AF23" i="15"/>
  <c r="AI26" i="15"/>
  <c r="N13" i="15"/>
  <c r="Z15" i="15"/>
  <c r="T23" i="15"/>
  <c r="J6" i="15"/>
  <c r="L5" i="15"/>
  <c r="AK20" i="15"/>
  <c r="H11" i="15"/>
  <c r="I24" i="15"/>
  <c r="N24" i="15"/>
  <c r="AB27" i="15"/>
  <c r="AH20" i="15"/>
  <c r="AK17" i="15"/>
  <c r="AJ27" i="15"/>
  <c r="X23" i="15"/>
  <c r="BK82" i="6"/>
  <c r="Q19" i="15"/>
  <c r="AM17" i="15"/>
  <c r="R14" i="15"/>
  <c r="AM5" i="15"/>
  <c r="Z21" i="15"/>
  <c r="T17" i="15"/>
  <c r="I20" i="15"/>
  <c r="V19" i="15"/>
  <c r="AE20" i="15"/>
  <c r="U6" i="15"/>
  <c r="AJ11" i="15"/>
  <c r="Y7" i="15"/>
  <c r="K13" i="15"/>
  <c r="J19" i="15"/>
  <c r="X9" i="15"/>
  <c r="Z8" i="15"/>
  <c r="R12" i="15"/>
  <c r="AL8" i="15"/>
  <c r="AO23" i="15"/>
  <c r="AC11" i="15"/>
  <c r="AF6" i="15"/>
  <c r="K26" i="15"/>
  <c r="C48" i="15"/>
  <c r="U20" i="15"/>
  <c r="AJ19" i="15"/>
  <c r="AF12" i="15"/>
  <c r="U8" i="15"/>
  <c r="Z17" i="15"/>
  <c r="V9" i="15"/>
  <c r="N8" i="15"/>
  <c r="AN23" i="15"/>
  <c r="AD6" i="15"/>
  <c r="Y27" i="15"/>
  <c r="N27" i="15"/>
  <c r="O15" i="15"/>
  <c r="AI18" i="15"/>
  <c r="AM25" i="15"/>
  <c r="BK54" i="6"/>
  <c r="J14" i="15"/>
  <c r="BK141" i="6"/>
  <c r="AB17" i="15"/>
  <c r="K8" i="15"/>
  <c r="BK63" i="6"/>
  <c r="T19" i="15"/>
  <c r="W24" i="15"/>
  <c r="AD23" i="15"/>
  <c r="AD13" i="15"/>
  <c r="O21" i="15"/>
  <c r="AK19" i="15"/>
  <c r="M27" i="15"/>
  <c r="H6" i="15"/>
  <c r="AL5" i="15"/>
  <c r="BK135" i="6"/>
  <c r="O5" i="15"/>
  <c r="H12" i="15"/>
  <c r="Z11" i="15"/>
  <c r="AH8" i="15"/>
  <c r="Y15" i="15"/>
  <c r="E20" i="15"/>
  <c r="L14" i="15"/>
  <c r="BK60" i="6"/>
  <c r="G9" i="15"/>
  <c r="AE8" i="15"/>
  <c r="AD7" i="15"/>
  <c r="T20" i="15"/>
  <c r="Q14" i="15"/>
  <c r="AM23" i="15"/>
  <c r="AJ9" i="15"/>
  <c r="F6" i="15"/>
  <c r="O9" i="15"/>
  <c r="BK83" i="6"/>
  <c r="M23" i="15"/>
  <c r="AC23" i="15"/>
  <c r="Q21" i="15"/>
  <c r="AE9" i="15"/>
  <c r="M6" i="15"/>
  <c r="P11" i="15"/>
  <c r="AO7" i="15"/>
  <c r="AD11" i="15"/>
  <c r="U18" i="15"/>
  <c r="E21" i="15"/>
  <c r="K11" i="15"/>
  <c r="BK5" i="6"/>
  <c r="BD151" i="6"/>
  <c r="BD150" i="6"/>
  <c r="BD152" i="6" s="1"/>
  <c r="AG21" i="15"/>
  <c r="T18" i="15"/>
  <c r="AN14" i="15"/>
  <c r="AN9" i="15"/>
  <c r="C49" i="15"/>
  <c r="AA7" i="15"/>
  <c r="AN13" i="15"/>
  <c r="T21" i="15"/>
  <c r="O8" i="15"/>
  <c r="AL7" i="15"/>
  <c r="M25" i="15"/>
  <c r="H21" i="15"/>
  <c r="U19" i="15"/>
  <c r="BK43" i="6"/>
  <c r="BK89" i="6"/>
  <c r="Y25" i="15"/>
  <c r="AG23" i="15"/>
  <c r="BK20" i="6"/>
  <c r="AH23" i="15"/>
  <c r="AI6" i="15"/>
  <c r="AA25" i="15"/>
  <c r="U15" i="15"/>
  <c r="AN27" i="15"/>
  <c r="AK7" i="15"/>
  <c r="AN12" i="15"/>
  <c r="AL12" i="15"/>
  <c r="AG17" i="15"/>
  <c r="BK137" i="6"/>
  <c r="AG14" i="15"/>
  <c r="Q9" i="15"/>
  <c r="Z12" i="15"/>
  <c r="O27" i="15"/>
  <c r="K12" i="15"/>
  <c r="BK40" i="6"/>
  <c r="L17" i="15"/>
  <c r="R5" i="15"/>
  <c r="M13" i="15"/>
  <c r="BK97" i="6"/>
  <c r="BK42" i="6"/>
  <c r="K23" i="15"/>
  <c r="AH12" i="15"/>
  <c r="M19" i="15"/>
  <c r="Z25" i="15"/>
  <c r="F20" i="15"/>
  <c r="Q23" i="15"/>
  <c r="R13" i="15"/>
  <c r="AI7" i="15"/>
  <c r="H20" i="15"/>
  <c r="W13" i="15"/>
  <c r="V7" i="15"/>
  <c r="AL27" i="15"/>
  <c r="O20" i="15"/>
  <c r="AE5" i="15"/>
  <c r="AJ5" i="15"/>
  <c r="X5" i="15"/>
  <c r="L26" i="15"/>
  <c r="AO26" i="15"/>
  <c r="AO6" i="15"/>
  <c r="AO17" i="15"/>
  <c r="AD17" i="15"/>
  <c r="BK118" i="6"/>
  <c r="AO19" i="15"/>
  <c r="AO25" i="15"/>
  <c r="AO11" i="15"/>
  <c r="BK44" i="6"/>
  <c r="BK29" i="6"/>
  <c r="Q11" i="15"/>
  <c r="AK12" i="15"/>
  <c r="C41" i="15"/>
  <c r="I21" i="15"/>
  <c r="AH26" i="15"/>
  <c r="AI9" i="15"/>
  <c r="Y26" i="15"/>
  <c r="BK73" i="6"/>
  <c r="AH6" i="15"/>
  <c r="AG25" i="15"/>
  <c r="X26" i="15"/>
  <c r="AN20" i="15"/>
  <c r="R21" i="15"/>
  <c r="AN19" i="15"/>
  <c r="G23" i="15"/>
  <c r="N7" i="15"/>
  <c r="Y18" i="15"/>
  <c r="X8" i="15"/>
  <c r="M26" i="15"/>
  <c r="Q5" i="15"/>
  <c r="N17" i="15"/>
  <c r="BK22" i="6"/>
  <c r="BK33" i="6"/>
  <c r="BK121" i="6"/>
  <c r="C54" i="15"/>
  <c r="AB5" i="15"/>
  <c r="AN17" i="15"/>
  <c r="K14" i="15"/>
  <c r="AF11" i="15"/>
  <c r="BK100" i="6"/>
  <c r="AC25" i="15"/>
  <c r="R23" i="15"/>
  <c r="H24" i="15"/>
  <c r="R26" i="15"/>
  <c r="U25" i="15"/>
  <c r="AC21" i="15"/>
  <c r="AK23" i="15"/>
  <c r="J27" i="15"/>
  <c r="AK14" i="15"/>
  <c r="Y6" i="15"/>
  <c r="AK13" i="15"/>
  <c r="R24" i="15"/>
  <c r="L25" i="15"/>
  <c r="AZ17" i="15"/>
  <c r="J26" i="15"/>
  <c r="AB13" i="15"/>
  <c r="BK112" i="6"/>
  <c r="BK136" i="6"/>
  <c r="G17" i="15"/>
  <c r="AD25" i="15"/>
  <c r="BE151" i="6"/>
  <c r="BE150" i="6"/>
  <c r="AB7" i="15"/>
  <c r="C43" i="15"/>
  <c r="Y21" i="15"/>
  <c r="C55" i="15"/>
  <c r="BK114" i="6"/>
  <c r="BK39" i="6"/>
  <c r="AN21" i="15"/>
  <c r="AM24" i="15"/>
  <c r="X27" i="15"/>
  <c r="AN8" i="15"/>
  <c r="AE19" i="15"/>
  <c r="R20" i="15"/>
  <c r="AN15" i="15"/>
  <c r="W27" i="15"/>
  <c r="AM14" i="15"/>
  <c r="H23" i="15"/>
  <c r="V23" i="15"/>
  <c r="AE27" i="15"/>
  <c r="N15" i="15"/>
  <c r="N12" i="15"/>
  <c r="N19" i="15"/>
  <c r="H17" i="15"/>
  <c r="AI11" i="15"/>
  <c r="P26" i="15"/>
  <c r="AF25" i="15"/>
  <c r="V6" i="15"/>
  <c r="AM21" i="15"/>
  <c r="W14" i="15"/>
  <c r="S24" i="15"/>
  <c r="K7" i="15"/>
  <c r="AJ24" i="15"/>
  <c r="AC5" i="15"/>
  <c r="AJ6" i="15"/>
  <c r="AD5" i="15"/>
  <c r="BK78" i="6"/>
  <c r="AD26" i="15"/>
  <c r="U13" i="15"/>
  <c r="AI19" i="15"/>
  <c r="AB21" i="15"/>
  <c r="S25" i="15"/>
  <c r="Q25" i="15"/>
  <c r="AC6" i="15"/>
  <c r="AK21" i="15"/>
  <c r="Y17" i="15"/>
  <c r="V15" i="15"/>
  <c r="M20" i="15"/>
  <c r="AM7" i="15"/>
  <c r="BK94" i="6"/>
  <c r="V24" i="15"/>
  <c r="AG9" i="15"/>
  <c r="U14" i="15"/>
  <c r="S12" i="15"/>
  <c r="N14" i="15"/>
  <c r="BK91" i="6"/>
  <c r="AJ8" i="15"/>
  <c r="Z6" i="15"/>
  <c r="AN5" i="15"/>
  <c r="Z27" i="15"/>
  <c r="AM19" i="15"/>
  <c r="L27" i="15"/>
  <c r="M24" i="15"/>
  <c r="BK107" i="6"/>
  <c r="K6" i="15"/>
  <c r="AF8" i="15"/>
  <c r="W21" i="15"/>
  <c r="X25" i="15"/>
  <c r="AE6" i="15"/>
  <c r="P7" i="15"/>
  <c r="K17" i="15"/>
  <c r="X15" i="15"/>
  <c r="Q7" i="15"/>
  <c r="BK90" i="6"/>
  <c r="V14" i="15"/>
  <c r="AG5" i="15"/>
  <c r="G20" i="15"/>
  <c r="P21" i="15"/>
  <c r="BK37" i="6"/>
  <c r="T13" i="15"/>
  <c r="R6" i="15"/>
  <c r="AA20" i="15"/>
  <c r="P15" i="15"/>
  <c r="AL18" i="15"/>
  <c r="BK13" i="6"/>
  <c r="G18" i="15"/>
  <c r="C45" i="15"/>
  <c r="M15" i="15"/>
  <c r="Y24" i="15"/>
  <c r="L11" i="15"/>
  <c r="BK69" i="6"/>
  <c r="J21" i="15"/>
  <c r="N25" i="15"/>
  <c r="AF20" i="15"/>
  <c r="AJ20" i="15"/>
  <c r="P23" i="15"/>
  <c r="V17" i="15"/>
  <c r="X13" i="15"/>
  <c r="P17" i="15"/>
  <c r="AI25" i="15"/>
  <c r="C47" i="15"/>
  <c r="AF27" i="15"/>
  <c r="X11" i="15"/>
  <c r="R17" i="15"/>
  <c r="H9" i="15"/>
  <c r="AH15" i="15"/>
  <c r="I26" i="15"/>
  <c r="BK96" i="6"/>
  <c r="AG19" i="15"/>
  <c r="AK15" i="15"/>
  <c r="AF21" i="15"/>
  <c r="BK7" i="6"/>
  <c r="M14" i="15"/>
  <c r="S20" i="15"/>
  <c r="S7" i="15"/>
  <c r="N6" i="15"/>
  <c r="AG26" i="15"/>
  <c r="V12" i="15"/>
  <c r="AL9" i="15"/>
  <c r="L12" i="15"/>
  <c r="AA23" i="15"/>
  <c r="S6" i="15"/>
  <c r="L8" i="15"/>
  <c r="J8" i="15"/>
  <c r="M8" i="15"/>
  <c r="M5" i="15"/>
  <c r="BK79" i="6"/>
  <c r="AE23" i="15"/>
  <c r="AB9" i="15"/>
  <c r="BK11" i="6"/>
  <c r="AF18" i="15"/>
  <c r="F9" i="15"/>
  <c r="U23" i="15"/>
  <c r="R19" i="15"/>
  <c r="T12" i="15"/>
  <c r="P25" i="15"/>
  <c r="I7" i="15"/>
  <c r="H7" i="15"/>
  <c r="AD24" i="15"/>
  <c r="AH19" i="15"/>
  <c r="BK71" i="6"/>
  <c r="W5" i="15"/>
  <c r="Z7" i="15"/>
  <c r="F18" i="15"/>
  <c r="BK139" i="6"/>
  <c r="BK111" i="6"/>
  <c r="L18" i="15"/>
  <c r="W25" i="15"/>
  <c r="AC20" i="15"/>
  <c r="AG18" i="15"/>
  <c r="L24" i="15"/>
  <c r="AJ18" i="15"/>
  <c r="BK52" i="6"/>
  <c r="AA21" i="15"/>
  <c r="V5" i="15"/>
  <c r="AN6" i="15"/>
  <c r="O11" i="15"/>
  <c r="I9" i="15"/>
  <c r="W19" i="15"/>
  <c r="X18" i="15"/>
  <c r="P20" i="15"/>
  <c r="AF9" i="15"/>
  <c r="S8" i="15"/>
  <c r="BK144" i="6"/>
  <c r="Y12" i="15"/>
  <c r="AE21" i="15"/>
  <c r="AF26" i="15"/>
  <c r="AD27" i="15"/>
  <c r="W15" i="15"/>
  <c r="AC17" i="15"/>
  <c r="J24" i="15"/>
  <c r="BK117" i="6"/>
  <c r="BK21" i="6"/>
  <c r="Y20" i="15"/>
  <c r="BK126" i="6"/>
  <c r="AK18" i="15"/>
  <c r="AL13" i="15"/>
  <c r="J15" i="15"/>
  <c r="S23" i="15"/>
  <c r="T7" i="15"/>
  <c r="BK88" i="6"/>
  <c r="AZ6" i="15"/>
  <c r="BK58" i="6"/>
  <c r="K24" i="15"/>
  <c r="AA13" i="15"/>
  <c r="Y5" i="15"/>
  <c r="L6" i="15"/>
  <c r="AL15" i="15"/>
  <c r="U12" i="15"/>
  <c r="AJ14" i="15"/>
  <c r="AE17" i="15"/>
  <c r="AC19" i="15"/>
  <c r="AD19" i="15"/>
  <c r="S27" i="15"/>
  <c r="AH14" i="15"/>
  <c r="AD20" i="15"/>
  <c r="AM12" i="15"/>
  <c r="AB12" i="15"/>
  <c r="AG7" i="15"/>
  <c r="P19" i="15"/>
  <c r="S15" i="15"/>
  <c r="AF17" i="15"/>
  <c r="J9" i="15"/>
  <c r="AD9" i="15"/>
  <c r="K19" i="15"/>
  <c r="BK51" i="6"/>
  <c r="AM8" i="15"/>
  <c r="P24" i="15"/>
  <c r="K18" i="15"/>
  <c r="AL14" i="15"/>
  <c r="I12" i="15"/>
  <c r="Y13" i="15"/>
  <c r="R7" i="15"/>
  <c r="AH27" i="15"/>
  <c r="T14" i="15"/>
  <c r="AI23" i="15"/>
  <c r="U24" i="15"/>
  <c r="U17" i="15"/>
  <c r="AK27" i="15"/>
  <c r="BK145" i="6"/>
  <c r="BK23" i="6"/>
  <c r="AJ25" i="15"/>
  <c r="BK102" i="6"/>
  <c r="K5" i="15"/>
  <c r="N9" i="15"/>
  <c r="Z20" i="15"/>
  <c r="X12" i="15"/>
  <c r="M17" i="15"/>
  <c r="Z5" i="15"/>
  <c r="AA12" i="15"/>
  <c r="AO5" i="15"/>
  <c r="R25" i="15"/>
  <c r="AC7" i="15"/>
  <c r="AE26" i="15"/>
  <c r="E6" i="15"/>
  <c r="G6" i="15"/>
  <c r="AM27" i="15"/>
  <c r="M11" i="15"/>
  <c r="BK101" i="6"/>
  <c r="AH24" i="15"/>
  <c r="AG15" i="15"/>
  <c r="H27" i="15"/>
  <c r="P27" i="15"/>
  <c r="AB25" i="15"/>
  <c r="AG6" i="15"/>
  <c r="AB14" i="15"/>
  <c r="AK24" i="15"/>
  <c r="V26" i="15"/>
  <c r="Q15" i="15"/>
  <c r="BK38" i="6"/>
  <c r="AI27" i="15"/>
  <c r="BK122" i="6"/>
  <c r="AN26" i="15"/>
  <c r="AF24" i="15"/>
  <c r="BK81" i="6"/>
  <c r="J20" i="15"/>
  <c r="K21" i="15"/>
  <c r="P8" i="15"/>
  <c r="G26" i="15"/>
  <c r="L7" i="15"/>
  <c r="W7" i="15"/>
  <c r="BK8" i="6"/>
  <c r="AI20" i="15"/>
  <c r="AC13" i="15"/>
  <c r="AB11" i="15"/>
  <c r="N21" i="15"/>
  <c r="I17" i="15"/>
  <c r="L20" i="15"/>
  <c r="BK116" i="6"/>
  <c r="AC14" i="15"/>
  <c r="AF13" i="15"/>
  <c r="BK34" i="6"/>
  <c r="U27" i="15"/>
  <c r="BK48" i="6"/>
  <c r="AA11" i="15"/>
  <c r="N20" i="15"/>
  <c r="AF5" i="15"/>
  <c r="O19" i="15"/>
  <c r="AL25" i="15"/>
  <c r="BK31" i="6"/>
  <c r="AH13" i="15"/>
  <c r="AJ12" i="15"/>
  <c r="Z24" i="15"/>
  <c r="P13" i="15"/>
  <c r="T5" i="15"/>
  <c r="E18" i="15"/>
  <c r="AB15" i="15"/>
  <c r="Y8" i="15"/>
  <c r="BK46" i="6"/>
  <c r="W11" i="15"/>
  <c r="U21" i="15"/>
  <c r="O13" i="15"/>
  <c r="I18" i="15"/>
  <c r="I6" i="15"/>
  <c r="BK30" i="6"/>
  <c r="BK36" i="6"/>
  <c r="U5" i="15"/>
  <c r="AK6" i="15"/>
  <c r="C42" i="15"/>
  <c r="BK128" i="6"/>
  <c r="G21" i="15"/>
  <c r="AB20" i="15"/>
  <c r="BK55" i="6"/>
  <c r="T6" i="15"/>
  <c r="BK80" i="6"/>
  <c r="X20" i="15"/>
  <c r="O26" i="15"/>
  <c r="J23" i="15"/>
  <c r="S14" i="15"/>
  <c r="AM26" i="15"/>
  <c r="AE14" i="15"/>
  <c r="M12" i="15"/>
  <c r="AL19" i="15"/>
  <c r="I14" i="15"/>
  <c r="I19" i="15"/>
  <c r="N5" i="15"/>
  <c r="AJ7" i="15"/>
  <c r="BK129" i="6"/>
  <c r="AJ21" i="15"/>
  <c r="Y23" i="15"/>
  <c r="AE15" i="15"/>
  <c r="N18" i="15"/>
  <c r="AF19" i="15"/>
  <c r="BK27" i="6"/>
  <c r="AM20" i="15"/>
  <c r="BK109" i="6"/>
  <c r="S21" i="15"/>
  <c r="BK119" i="6"/>
  <c r="AE13" i="15"/>
  <c r="L23" i="15"/>
  <c r="Z14" i="15"/>
  <c r="W26" i="15"/>
  <c r="P12" i="15"/>
  <c r="T9" i="15"/>
  <c r="T25" i="15"/>
  <c r="G12" i="15"/>
  <c r="BK99" i="6"/>
  <c r="AH5" i="15"/>
  <c r="O25" i="15"/>
  <c r="BK35" i="6"/>
  <c r="Z9" i="15"/>
  <c r="AL6" i="15"/>
  <c r="AI15" i="15"/>
  <c r="J11" i="15"/>
  <c r="V18" i="15"/>
  <c r="AB26" i="15"/>
  <c r="AA18" i="15"/>
  <c r="AA14" i="15"/>
  <c r="BK14" i="6"/>
  <c r="Q12" i="15"/>
  <c r="BK105" i="6"/>
  <c r="W9" i="15"/>
  <c r="BK10" i="6"/>
  <c r="AG27" i="15"/>
  <c r="O23" i="15"/>
  <c r="AA15" i="15"/>
  <c r="AB19" i="15"/>
  <c r="AB24" i="15"/>
  <c r="F21" i="15"/>
  <c r="Q18" i="15"/>
  <c r="AF14" i="15"/>
  <c r="BK6" i="6"/>
  <c r="AI24" i="15"/>
  <c r="BK76" i="6"/>
  <c r="AB23" i="15"/>
  <c r="P5" i="15"/>
  <c r="AP27" i="15"/>
  <c r="AP20" i="15"/>
  <c r="AP11" i="15"/>
  <c r="AP14" i="15"/>
  <c r="AP23" i="15"/>
  <c r="AP19" i="15"/>
  <c r="AP6" i="15"/>
  <c r="AP17" i="15"/>
  <c r="AP26" i="15"/>
  <c r="AP9" i="15"/>
  <c r="AP24" i="15"/>
  <c r="AP7" i="15"/>
  <c r="AP12" i="15"/>
  <c r="AP25" i="15"/>
  <c r="AP21" i="15"/>
  <c r="AP15" i="15"/>
  <c r="AP8" i="15"/>
  <c r="AP18" i="15"/>
  <c r="AP13" i="15"/>
  <c r="AQ5" i="15"/>
  <c r="AR31" i="15"/>
  <c r="AX42" i="15"/>
  <c r="AQ51" i="15"/>
  <c r="AQ47" i="15"/>
  <c r="AQ46" i="15"/>
  <c r="AX37" i="15"/>
  <c r="AQ55" i="15"/>
  <c r="AQ35" i="15"/>
  <c r="AQ34" i="15"/>
  <c r="AQ43" i="15"/>
  <c r="AQ36" i="15"/>
  <c r="AQ53" i="15"/>
  <c r="AQ37" i="15"/>
  <c r="AQ42" i="15"/>
  <c r="AQ54" i="15"/>
  <c r="AQ48" i="15"/>
  <c r="AQ45" i="15"/>
  <c r="AX54" i="15"/>
  <c r="AQ41" i="15"/>
  <c r="AQ39" i="15"/>
  <c r="AR33" i="15"/>
  <c r="AQ49" i="15"/>
  <c r="AQ52" i="15"/>
  <c r="AQ40" i="15"/>
  <c r="BE152" i="6" l="1"/>
  <c r="BK148" i="6"/>
  <c r="AQ17" i="15"/>
  <c r="AQ14" i="15"/>
  <c r="AQ27" i="15"/>
  <c r="AQ18" i="15"/>
  <c r="AQ26" i="15"/>
  <c r="AQ12" i="15"/>
  <c r="AQ6" i="15"/>
  <c r="AQ24" i="15"/>
  <c r="AQ21" i="15"/>
  <c r="AQ7" i="15"/>
  <c r="AQ11" i="15"/>
  <c r="AQ25" i="15"/>
  <c r="AQ13" i="15"/>
  <c r="AQ15" i="15"/>
  <c r="AQ19" i="15"/>
  <c r="AQ8" i="15"/>
  <c r="AQ9" i="15"/>
  <c r="AQ20" i="15"/>
  <c r="AQ23" i="15"/>
  <c r="AR5" i="15"/>
  <c r="AS31" i="15"/>
  <c r="AR39" i="15"/>
  <c r="AR55" i="15"/>
  <c r="AS33" i="15"/>
  <c r="AR53" i="15"/>
  <c r="AR47" i="15"/>
  <c r="AR35" i="15"/>
  <c r="AR36" i="15"/>
  <c r="AR41" i="15"/>
  <c r="AR34" i="15"/>
  <c r="AR46" i="15"/>
  <c r="AR43" i="15"/>
  <c r="AR40" i="15"/>
  <c r="AR49" i="15"/>
  <c r="AR37" i="15"/>
  <c r="AR42" i="15"/>
  <c r="AR45" i="15"/>
  <c r="AR51" i="15"/>
  <c r="AR52" i="15"/>
  <c r="AR48" i="15"/>
  <c r="AR54" i="15"/>
  <c r="AR23" i="15" l="1"/>
  <c r="AR21" i="15"/>
  <c r="AR9" i="15"/>
  <c r="AR7" i="15"/>
  <c r="AR26" i="15"/>
  <c r="AR27" i="15"/>
  <c r="AR25" i="15"/>
  <c r="AR14" i="15"/>
  <c r="AR8" i="15"/>
  <c r="AR15" i="15"/>
  <c r="AR12" i="15"/>
  <c r="AR18" i="15"/>
  <c r="AR6" i="15"/>
  <c r="AR13" i="15"/>
  <c r="AR20" i="15"/>
  <c r="AR11" i="15"/>
  <c r="AR24" i="15"/>
  <c r="AR19" i="15"/>
  <c r="AR17" i="15"/>
  <c r="AS5" i="15"/>
  <c r="AT31" i="15"/>
  <c r="AS52" i="15"/>
  <c r="AS51" i="15"/>
  <c r="AS34" i="15"/>
  <c r="AS48" i="15"/>
  <c r="AS40" i="15"/>
  <c r="AS36" i="15"/>
  <c r="AS47" i="15"/>
  <c r="AS41" i="15"/>
  <c r="AT33" i="15"/>
  <c r="AS53" i="15"/>
  <c r="AS43" i="15"/>
  <c r="AS45" i="15"/>
  <c r="AS55" i="15"/>
  <c r="AS54" i="15"/>
  <c r="AS37" i="15"/>
  <c r="AS42" i="15"/>
  <c r="AS49" i="15"/>
  <c r="AS39" i="15"/>
  <c r="AS35" i="15"/>
  <c r="AS46" i="15"/>
  <c r="AS26" i="15" l="1"/>
  <c r="AS20" i="15"/>
  <c r="AS6" i="15"/>
  <c r="AS9" i="15"/>
  <c r="AS7" i="15"/>
  <c r="AS15" i="15"/>
  <c r="AS27" i="15"/>
  <c r="AS19" i="15"/>
  <c r="AS14" i="15"/>
  <c r="AS25" i="15"/>
  <c r="AS18" i="15"/>
  <c r="AS13" i="15"/>
  <c r="AS11" i="15"/>
  <c r="AS17" i="15"/>
  <c r="AS21" i="15"/>
  <c r="AS24" i="15"/>
  <c r="AS12" i="15"/>
  <c r="AS8" i="15"/>
  <c r="AS23" i="15"/>
  <c r="AT5" i="15"/>
  <c r="AU31" i="15"/>
  <c r="AT43" i="15"/>
  <c r="AT45" i="15"/>
  <c r="AT54" i="15"/>
  <c r="AT52" i="15"/>
  <c r="AT49" i="15"/>
  <c r="AT35" i="15"/>
  <c r="AT36" i="15"/>
  <c r="AT37" i="15"/>
  <c r="AT53" i="15"/>
  <c r="AT40" i="15"/>
  <c r="AT34" i="15"/>
  <c r="AT51" i="15"/>
  <c r="AT41" i="15"/>
  <c r="AT42" i="15"/>
  <c r="AT48" i="15"/>
  <c r="AT47" i="15"/>
  <c r="AT46" i="15"/>
  <c r="AT39" i="15"/>
  <c r="AT55" i="15"/>
  <c r="AU33" i="15"/>
  <c r="AT21" i="15" l="1"/>
  <c r="AT20" i="15"/>
  <c r="AT6" i="15"/>
  <c r="AT27" i="15"/>
  <c r="AT7" i="15"/>
  <c r="AT12" i="15"/>
  <c r="AT9" i="15"/>
  <c r="AT26" i="15"/>
  <c r="AT23" i="15"/>
  <c r="AT17" i="15"/>
  <c r="AT14" i="15"/>
  <c r="AT11" i="15"/>
  <c r="AT19" i="15"/>
  <c r="AT25" i="15"/>
  <c r="AT24" i="15"/>
  <c r="AT15" i="15"/>
  <c r="AT8" i="15"/>
  <c r="AT18" i="15"/>
  <c r="AT13" i="15"/>
  <c r="AU5" i="15"/>
  <c r="AV31" i="15"/>
  <c r="AU48" i="15"/>
  <c r="AU55" i="15"/>
  <c r="AU34" i="15"/>
  <c r="AU40" i="15"/>
  <c r="AU36" i="15"/>
  <c r="AU37" i="15"/>
  <c r="AU39" i="15"/>
  <c r="AV33" i="15"/>
  <c r="AU53" i="15"/>
  <c r="AU49" i="15"/>
  <c r="AU52" i="15"/>
  <c r="AU43" i="15"/>
  <c r="AU42" i="15"/>
  <c r="AU46" i="15"/>
  <c r="AU35" i="15"/>
  <c r="AU51" i="15"/>
  <c r="AU41" i="15"/>
  <c r="AU47" i="15"/>
  <c r="AU45" i="15"/>
  <c r="AU54" i="15"/>
  <c r="AU11" i="15" l="1"/>
  <c r="AU19" i="15"/>
  <c r="AU25" i="15"/>
  <c r="AU12" i="15"/>
  <c r="AU9" i="15"/>
  <c r="AU18" i="15"/>
  <c r="AU27" i="15"/>
  <c r="AU26" i="15"/>
  <c r="AU8" i="15"/>
  <c r="AU13" i="15"/>
  <c r="AU6" i="15"/>
  <c r="AU20" i="15"/>
  <c r="AU7" i="15"/>
  <c r="AU23" i="15"/>
  <c r="AU21" i="15"/>
  <c r="AU17" i="15"/>
  <c r="AU14" i="15"/>
  <c r="AU15" i="15"/>
  <c r="AU24" i="15"/>
  <c r="AV5" i="15"/>
  <c r="AV52" i="15"/>
  <c r="AV34" i="15"/>
  <c r="AV35" i="15"/>
  <c r="AV53" i="15"/>
  <c r="AV48" i="15"/>
  <c r="AX33" i="15"/>
  <c r="AV39" i="15"/>
  <c r="AV43" i="15"/>
  <c r="AW33" i="15"/>
  <c r="AV49" i="15"/>
  <c r="AV55" i="15"/>
  <c r="AV47" i="15"/>
  <c r="AV42" i="15"/>
  <c r="AV41" i="15"/>
  <c r="AV36" i="15"/>
  <c r="AV46" i="15"/>
  <c r="AV51" i="15"/>
  <c r="AV54" i="15"/>
  <c r="AV45" i="15"/>
  <c r="AV40" i="15"/>
  <c r="AV37" i="15"/>
  <c r="BA5" i="15" l="1"/>
  <c r="BA12" i="15"/>
  <c r="BA11" i="15"/>
  <c r="BA21" i="15"/>
  <c r="BA18" i="15"/>
  <c r="BA27" i="15"/>
  <c r="BA19" i="15"/>
  <c r="BA9" i="15"/>
  <c r="BA20" i="15"/>
  <c r="BB11" i="15"/>
  <c r="AY6" i="15"/>
  <c r="AZ12" i="15"/>
  <c r="AY14" i="15"/>
  <c r="AZ13" i="15"/>
  <c r="BB23" i="15"/>
  <c r="AZ5" i="15"/>
  <c r="AY24" i="15"/>
  <c r="BB15" i="15"/>
  <c r="AY12" i="15"/>
  <c r="BB25" i="15"/>
  <c r="AY13" i="15"/>
  <c r="AY9" i="15"/>
  <c r="BB19" i="15"/>
  <c r="BB8" i="15"/>
  <c r="BB7" i="15"/>
  <c r="BB9" i="15"/>
  <c r="BB12" i="15"/>
  <c r="BB27" i="15"/>
  <c r="BB20" i="15"/>
  <c r="BB21" i="15"/>
  <c r="BB18" i="15"/>
  <c r="AZ26" i="15"/>
  <c r="AZ24" i="15"/>
  <c r="AZ27" i="15"/>
  <c r="AZ23" i="15"/>
  <c r="AZ15" i="15"/>
  <c r="AZ11" i="15"/>
  <c r="AZ9" i="15"/>
  <c r="AV9" i="15"/>
  <c r="AZ8" i="15"/>
  <c r="AY8" i="15"/>
  <c r="AV8" i="15"/>
  <c r="AV17" i="15"/>
  <c r="AZ19" i="15"/>
  <c r="AY19" i="15"/>
  <c r="AV19" i="15"/>
  <c r="AV12" i="15"/>
  <c r="AY26" i="15"/>
  <c r="AV26" i="15"/>
  <c r="AV24" i="15"/>
  <c r="AY27" i="15"/>
  <c r="AV27" i="15"/>
  <c r="AV14" i="15"/>
  <c r="AY23" i="15"/>
  <c r="AV23" i="15"/>
  <c r="AY15" i="15"/>
  <c r="AV15" i="15"/>
  <c r="AY20" i="15"/>
  <c r="AZ20" i="15"/>
  <c r="AV20" i="15"/>
  <c r="AZ25" i="15"/>
  <c r="AV25" i="15"/>
  <c r="AY21" i="15"/>
  <c r="AZ21" i="15"/>
  <c r="AV21" i="15"/>
  <c r="AY11" i="15"/>
  <c r="AV11" i="15"/>
  <c r="AW6" i="15"/>
  <c r="AV6" i="15"/>
  <c r="AV13" i="15"/>
  <c r="AZ18" i="15"/>
  <c r="AY18" i="15"/>
  <c r="AV18" i="15"/>
  <c r="AZ7" i="15"/>
  <c r="AV7" i="15"/>
  <c r="AY5" i="15"/>
  <c r="AX5" i="15"/>
  <c r="AW5" i="15"/>
  <c r="AW7" i="15"/>
  <c r="AW26" i="15"/>
  <c r="AW23" i="15"/>
  <c r="AW14" i="15"/>
  <c r="AW11" i="15"/>
  <c r="AW12" i="15"/>
  <c r="AW27" i="15"/>
  <c r="AW19" i="15"/>
  <c r="AW15" i="15"/>
  <c r="AX8" i="15"/>
  <c r="AX25" i="15"/>
  <c r="AX17" i="15"/>
  <c r="AX13" i="15"/>
  <c r="AX26" i="15"/>
  <c r="AX9" i="15"/>
  <c r="AX18" i="15"/>
  <c r="AX12" i="15"/>
  <c r="AX23" i="15"/>
  <c r="AX7" i="15"/>
  <c r="AX24" i="15"/>
  <c r="AX11" i="15"/>
  <c r="AX21" i="15"/>
  <c r="AX6" i="15"/>
  <c r="AX15" i="15"/>
  <c r="AX27" i="15"/>
  <c r="AX20" i="15"/>
  <c r="AX19" i="15"/>
  <c r="AX14" i="15"/>
  <c r="AW8" i="15"/>
  <c r="AW17" i="15"/>
  <c r="AW13" i="15"/>
  <c r="AW24" i="15"/>
  <c r="AW20" i="15"/>
  <c r="AW21" i="15"/>
  <c r="AW18" i="15"/>
  <c r="AW9" i="15"/>
  <c r="AW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峯村 嘉一</author>
  </authors>
  <commentList>
    <comment ref="BH98" authorId="0" shapeId="0" xr:uid="{B25CCB2A-7C71-4F8D-A39B-5AF38CAD6ACC}">
      <text>
        <r>
          <rPr>
            <b/>
            <sz val="9"/>
            <color indexed="81"/>
            <rFont val="MS P ゴシック"/>
            <family val="3"/>
            <charset val="128"/>
          </rPr>
          <t>峯村 嘉一:</t>
        </r>
        <r>
          <rPr>
            <sz val="9"/>
            <color indexed="81"/>
            <rFont val="MS P ゴシック"/>
            <family val="3"/>
            <charset val="128"/>
          </rPr>
          <t xml:space="preserve">
H30に移転したものの、R2の測定が旧水準点で行われたものであった。R2の測定時、旧水準点の近傍で工事が行われていたことが写真で確認でき、適切な値であることが担保できないことから、測定結果は使用しないことと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峯村 嘉一</author>
  </authors>
  <commentList>
    <comment ref="BH98" authorId="0" shapeId="0" xr:uid="{65092C29-69D7-48DC-AEF6-366445D2B976}">
      <text>
        <r>
          <rPr>
            <b/>
            <sz val="9"/>
            <color indexed="81"/>
            <rFont val="MS P ゴシック"/>
            <family val="3"/>
            <charset val="128"/>
          </rPr>
          <t>峯村 嘉一:</t>
        </r>
        <r>
          <rPr>
            <sz val="9"/>
            <color indexed="81"/>
            <rFont val="MS P ゴシック"/>
            <family val="3"/>
            <charset val="128"/>
          </rPr>
          <t xml:space="preserve">
H30に移転したものの、R2の測定が旧水準点で行われたものであった。R2の測定時、旧水準点の近傍で工事が行われていたことが写真で確認でき、適切な値であることが担保できないことから、測定結果は使用しないこととした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<sst xmlns="http://schemas.openxmlformats.org/spreadsheetml/2006/main" count="16470" uniqueCount="1560">
  <si>
    <t xml:space="preserve">  区</t>
  </si>
  <si>
    <t xml:space="preserve">  設置場所</t>
  </si>
  <si>
    <t>管理</t>
  </si>
  <si>
    <t>埋設</t>
  </si>
  <si>
    <t>区域</t>
  </si>
  <si>
    <t>地質</t>
  </si>
  <si>
    <t>中央</t>
  </si>
  <si>
    <t>大通東12丁目</t>
  </si>
  <si>
    <t>東橋公園</t>
  </si>
  <si>
    <t>市</t>
  </si>
  <si>
    <t>S50</t>
  </si>
  <si>
    <t>礫</t>
  </si>
  <si>
    <t>国</t>
  </si>
  <si>
    <t>大通東６丁目</t>
  </si>
  <si>
    <t>中央小学校</t>
  </si>
  <si>
    <t>北４条東３丁目</t>
  </si>
  <si>
    <t>中央中学校</t>
  </si>
  <si>
    <t>北３条西４丁目</t>
  </si>
  <si>
    <t>北海道庁前</t>
  </si>
  <si>
    <t>S48</t>
  </si>
  <si>
    <t>亡失</t>
  </si>
  <si>
    <t>復活</t>
  </si>
  <si>
    <t>移転</t>
  </si>
  <si>
    <t>北２条西５丁目</t>
  </si>
  <si>
    <t>北海道庁庭</t>
  </si>
  <si>
    <t>南１条西14丁目</t>
  </si>
  <si>
    <t>中村記念病院</t>
  </si>
  <si>
    <t>南８条西２丁目</t>
  </si>
  <si>
    <t>豊水小学校</t>
  </si>
  <si>
    <t>南14条西10丁目</t>
  </si>
  <si>
    <t>山鼻児童公園</t>
  </si>
  <si>
    <t>S53</t>
  </si>
  <si>
    <t>北２条西25丁目</t>
  </si>
  <si>
    <t>大鳥居前</t>
  </si>
  <si>
    <t>北１条西２丁目</t>
  </si>
  <si>
    <t>市役所本庁舎</t>
  </si>
  <si>
    <t>H6</t>
  </si>
  <si>
    <t>新設</t>
  </si>
  <si>
    <t>北</t>
  </si>
  <si>
    <t>北９条西１丁目</t>
  </si>
  <si>
    <t>北九条小学校</t>
  </si>
  <si>
    <t>北18条西９丁目</t>
  </si>
  <si>
    <t>北大獣医学部</t>
  </si>
  <si>
    <t>北19条西２丁目</t>
  </si>
  <si>
    <t>幌北小学校</t>
  </si>
  <si>
    <t>北24条西７丁目</t>
  </si>
  <si>
    <t>白楊小学校</t>
  </si>
  <si>
    <t>欠測</t>
  </si>
  <si>
    <t>北27条西14丁目</t>
  </si>
  <si>
    <t>新陽小学校</t>
  </si>
  <si>
    <t>新川３条３丁目</t>
  </si>
  <si>
    <t>新川中央小学校</t>
  </si>
  <si>
    <t>新川５条15丁目</t>
  </si>
  <si>
    <t>新川小学校</t>
  </si>
  <si>
    <t>泥炭</t>
  </si>
  <si>
    <t>北電西札幌変電所</t>
  </si>
  <si>
    <t>新琴似７条３丁目</t>
  </si>
  <si>
    <t>新琴似小学校</t>
  </si>
  <si>
    <t>新琴似７条６丁目</t>
  </si>
  <si>
    <t>琴星幼稚園</t>
  </si>
  <si>
    <t>新琴似５条11丁目</t>
  </si>
  <si>
    <t>光陽小学校</t>
  </si>
  <si>
    <t>新琴似10条10丁目</t>
  </si>
  <si>
    <t>新琴似北中学校</t>
  </si>
  <si>
    <t>調整</t>
  </si>
  <si>
    <t>屯田４条２丁目</t>
  </si>
  <si>
    <t>ピノキオ公園</t>
  </si>
  <si>
    <t>屯田７条６丁目２</t>
  </si>
  <si>
    <t>屯田小学校</t>
  </si>
  <si>
    <t>茨戸西部中継ポンプ場</t>
  </si>
  <si>
    <t>道</t>
  </si>
  <si>
    <t>麻生町８丁目</t>
  </si>
  <si>
    <t>創成川処理場</t>
  </si>
  <si>
    <t>S51</t>
  </si>
  <si>
    <t>太平５条１丁目</t>
  </si>
  <si>
    <t>出光石油スタンド</t>
  </si>
  <si>
    <t>篠路６条１丁目</t>
  </si>
  <si>
    <t>コカ・コ－ラ北営業所</t>
  </si>
  <si>
    <t>篠路１条２丁目</t>
  </si>
  <si>
    <t>太平小学校</t>
  </si>
  <si>
    <t>東茨戸１条２丁目</t>
  </si>
  <si>
    <t>茨戸小学校</t>
  </si>
  <si>
    <t>篠路４条９丁目</t>
  </si>
  <si>
    <t>篠路小学校</t>
  </si>
  <si>
    <t>遠島宅(教願寺)</t>
  </si>
  <si>
    <t>ペケレット湖園</t>
  </si>
  <si>
    <t>あいの里４条２丁目</t>
  </si>
  <si>
    <t>再設</t>
  </si>
  <si>
    <t>あいの里３条６丁目</t>
  </si>
  <si>
    <t>鴻城小学校</t>
  </si>
  <si>
    <t>拓北６条２丁目</t>
  </si>
  <si>
    <t>篠路拓北公園</t>
  </si>
  <si>
    <t>動物管理センター</t>
  </si>
  <si>
    <t>14年累積</t>
  </si>
  <si>
    <t>内田宅</t>
  </si>
  <si>
    <t>12年累積</t>
  </si>
  <si>
    <t>東</t>
  </si>
  <si>
    <t>札幌信用金庫</t>
  </si>
  <si>
    <t>礫・</t>
  </si>
  <si>
    <t>たもの木公園</t>
  </si>
  <si>
    <t>北22条東21丁目</t>
  </si>
  <si>
    <t>開成高校</t>
  </si>
  <si>
    <t>北園小学校</t>
  </si>
  <si>
    <t>北31条東14丁目</t>
  </si>
  <si>
    <t>元町北小学校</t>
  </si>
  <si>
    <t>北栄中学校</t>
  </si>
  <si>
    <t>栄西小学校</t>
  </si>
  <si>
    <t>北42条東10丁目</t>
  </si>
  <si>
    <t>栄小学校</t>
  </si>
  <si>
    <t>栄中学校</t>
  </si>
  <si>
    <t>伏古１条２丁目</t>
  </si>
  <si>
    <t>札幌小学校</t>
  </si>
  <si>
    <t>伏古８条１丁目</t>
  </si>
  <si>
    <t>札幌中学校</t>
  </si>
  <si>
    <t>瑞穂神社</t>
  </si>
  <si>
    <t>東苗穂７条２丁目</t>
  </si>
  <si>
    <t>札苗小学校</t>
  </si>
  <si>
    <t>東雁来町 387番地</t>
  </si>
  <si>
    <t>中島宅</t>
  </si>
  <si>
    <t>丸運流通庫前</t>
  </si>
  <si>
    <t>10年累積</t>
  </si>
  <si>
    <t>東雁来町 255番地</t>
  </si>
  <si>
    <t>吉本宅</t>
  </si>
  <si>
    <t>丘珠小学校</t>
  </si>
  <si>
    <t>丘珠町 185番地</t>
  </si>
  <si>
    <t>丘珠神社</t>
  </si>
  <si>
    <t>丘珠観測所</t>
  </si>
  <si>
    <t>S54</t>
  </si>
  <si>
    <t>富樫宅</t>
  </si>
  <si>
    <t>中沼町 240番地</t>
  </si>
  <si>
    <t>福移小中学校</t>
  </si>
  <si>
    <t>中沼小学校</t>
  </si>
  <si>
    <t>白石</t>
  </si>
  <si>
    <t>菊水８条１丁目</t>
  </si>
  <si>
    <t>東橋小学校</t>
  </si>
  <si>
    <t>中央２条１丁目</t>
  </si>
  <si>
    <t>白石陸橋</t>
  </si>
  <si>
    <t>東札幌４条５丁目</t>
  </si>
  <si>
    <t>日章中学校</t>
  </si>
  <si>
    <t>本通１丁目北４</t>
  </si>
  <si>
    <t>白石小学校</t>
  </si>
  <si>
    <t>火山灰</t>
  </si>
  <si>
    <t>本通５丁目南４</t>
  </si>
  <si>
    <t>教照寺</t>
  </si>
  <si>
    <t>㈱いとう</t>
  </si>
  <si>
    <t>平和通９丁目南１</t>
  </si>
  <si>
    <t>本通小学校</t>
  </si>
  <si>
    <t>東白石小学校</t>
  </si>
  <si>
    <t>東米里小中学校</t>
  </si>
  <si>
    <t>遠山宅</t>
  </si>
  <si>
    <t>白石高校</t>
  </si>
  <si>
    <t>可児宅</t>
  </si>
  <si>
    <t>北郷３条11丁目</t>
  </si>
  <si>
    <t>北都小学校</t>
  </si>
  <si>
    <t>北郷６条３丁目</t>
  </si>
  <si>
    <t>北白石中学校</t>
  </si>
  <si>
    <t>豊平</t>
  </si>
  <si>
    <t>豊進橋</t>
  </si>
  <si>
    <t>平岸２条14丁目１</t>
  </si>
  <si>
    <t>平岸小学校</t>
  </si>
  <si>
    <t>平岸２条１丁目</t>
  </si>
  <si>
    <t>平岸診療所</t>
  </si>
  <si>
    <t>月寒東１条16丁目</t>
  </si>
  <si>
    <t>羊ヶ丘小学校</t>
  </si>
  <si>
    <t>美園１０条８丁目</t>
  </si>
  <si>
    <t>月寒公園</t>
  </si>
  <si>
    <t>豊平８条１３丁目</t>
  </si>
  <si>
    <t>八条中学校</t>
  </si>
  <si>
    <t>移設</t>
  </si>
  <si>
    <t>西岡２条９丁目</t>
  </si>
  <si>
    <t>西岡小学校</t>
  </si>
  <si>
    <t>福住２条６丁目</t>
  </si>
  <si>
    <t>福住中央公園</t>
  </si>
  <si>
    <t>清田１条４丁目</t>
  </si>
  <si>
    <t>清田小学校</t>
  </si>
  <si>
    <t>平岡７条３丁目</t>
  </si>
  <si>
    <t>てんとう虫公園</t>
  </si>
  <si>
    <t>廃止</t>
  </si>
  <si>
    <t>北野３条２丁目10</t>
  </si>
  <si>
    <t>北野小学校</t>
  </si>
  <si>
    <t>南</t>
  </si>
  <si>
    <t>真駒内養護学校</t>
  </si>
  <si>
    <t>真駒内南町１丁目１</t>
  </si>
  <si>
    <t>道職員アパ－ト</t>
  </si>
  <si>
    <t>真駒内公園４番地</t>
  </si>
  <si>
    <t>真駒内公園</t>
  </si>
  <si>
    <t>西</t>
  </si>
  <si>
    <t>西小学校</t>
  </si>
  <si>
    <t>興国印刷</t>
  </si>
  <si>
    <t>琴似２条７丁目</t>
  </si>
  <si>
    <t>琴似小学校</t>
  </si>
  <si>
    <t>八軒７条東１丁目</t>
  </si>
  <si>
    <t>八軒児童会館</t>
  </si>
  <si>
    <t>八軒１条西１丁目</t>
  </si>
  <si>
    <t>山の手２条１丁目</t>
  </si>
  <si>
    <t>日登寺</t>
  </si>
  <si>
    <t>厚別</t>
  </si>
  <si>
    <t>大谷地西２丁目３</t>
  </si>
  <si>
    <t>北星学園大学</t>
  </si>
  <si>
    <t>大谷地東２丁目５</t>
  </si>
  <si>
    <t>三菱石油スタンド</t>
  </si>
  <si>
    <t>厚別南６丁目１</t>
  </si>
  <si>
    <t>厚別商事前</t>
  </si>
  <si>
    <t>青葉町７丁目１１</t>
  </si>
  <si>
    <t>もみじ台西６丁目２</t>
  </si>
  <si>
    <t>熊の沢公園</t>
  </si>
  <si>
    <t>厚別東２条４丁目５</t>
  </si>
  <si>
    <t>小野幌小学校</t>
  </si>
  <si>
    <t>厚別北３条３丁目</t>
  </si>
  <si>
    <t>もみじ台通</t>
  </si>
  <si>
    <t>厚別中央３条５丁目</t>
  </si>
  <si>
    <t>大行寺</t>
  </si>
  <si>
    <t>厚別中央４条３丁目</t>
  </si>
  <si>
    <t>信濃公園</t>
  </si>
  <si>
    <t>厚別西４条３丁目８</t>
  </si>
  <si>
    <t>山本稲荷神社</t>
  </si>
  <si>
    <t>厚別下水処理場</t>
  </si>
  <si>
    <t>手稲</t>
  </si>
  <si>
    <t>手稲山口 653番地</t>
  </si>
  <si>
    <t>手稲北小学校</t>
  </si>
  <si>
    <t>砂</t>
  </si>
  <si>
    <t>曙６条３丁目</t>
  </si>
  <si>
    <t>山口観測所</t>
  </si>
  <si>
    <t>S52</t>
  </si>
  <si>
    <t>岡本宅</t>
  </si>
  <si>
    <t>稲穂３条６丁目</t>
  </si>
  <si>
    <t>コーポ吉田横</t>
  </si>
  <si>
    <t>手稲本町２条５丁目</t>
  </si>
  <si>
    <t>工藤宅</t>
  </si>
  <si>
    <t>手稲本町３条２丁目</t>
  </si>
  <si>
    <t>手稲中央小学校</t>
  </si>
  <si>
    <t>北海道工業大学</t>
  </si>
  <si>
    <t>手稲６条11丁目</t>
  </si>
  <si>
    <t>前田小学校</t>
  </si>
  <si>
    <t>富丘２条４丁目</t>
  </si>
  <si>
    <t>高木宅</t>
  </si>
  <si>
    <t>新発寒５条４丁目</t>
  </si>
  <si>
    <t>北発寒観測所</t>
  </si>
  <si>
    <t>川北 2261番地</t>
    <phoneticPr fontId="1"/>
  </si>
  <si>
    <t>川下 2165番地</t>
    <phoneticPr fontId="1"/>
  </si>
  <si>
    <t>中沼町 45番地</t>
    <phoneticPr fontId="1"/>
  </si>
  <si>
    <t>苗穂町16丁目</t>
    <phoneticPr fontId="1"/>
  </si>
  <si>
    <t>北25条東４丁目</t>
    <phoneticPr fontId="1"/>
  </si>
  <si>
    <t>北14条東１丁目</t>
    <phoneticPr fontId="1"/>
  </si>
  <si>
    <t>篠路町拓北 30番地</t>
    <phoneticPr fontId="1"/>
  </si>
  <si>
    <t>屯田町 954番地</t>
    <phoneticPr fontId="1"/>
  </si>
  <si>
    <t>中沼町 92番地</t>
    <phoneticPr fontId="1"/>
  </si>
  <si>
    <t/>
  </si>
  <si>
    <t>扇状地</t>
  </si>
  <si>
    <t>低地西</t>
  </si>
  <si>
    <t>低地東</t>
  </si>
  <si>
    <t>青葉町配水池ポンプ場</t>
  </si>
  <si>
    <t>山地</t>
  </si>
  <si>
    <t>清田</t>
  </si>
  <si>
    <t>宮の沢そよかぜ公園</t>
  </si>
  <si>
    <t>H9</t>
  </si>
  <si>
    <t>値付</t>
    <rPh sb="0" eb="1">
      <t>アタイ</t>
    </rPh>
    <rPh sb="1" eb="2">
      <t>ヅ</t>
    </rPh>
    <phoneticPr fontId="1"/>
  </si>
  <si>
    <t>あいの里緑道</t>
  </si>
  <si>
    <t>あいの里緑道</t>
    <rPh sb="3" eb="4">
      <t>サト</t>
    </rPh>
    <rPh sb="4" eb="5">
      <t>リョク</t>
    </rPh>
    <rPh sb="5" eb="6">
      <t>ドウ</t>
    </rPh>
    <phoneticPr fontId="1"/>
  </si>
  <si>
    <t>八軒まりも公園</t>
    <rPh sb="0" eb="2">
      <t>ハチケン</t>
    </rPh>
    <rPh sb="5" eb="7">
      <t>コウエン</t>
    </rPh>
    <phoneticPr fontId="1"/>
  </si>
  <si>
    <t>移設</t>
    <rPh sb="0" eb="2">
      <t>イセツ</t>
    </rPh>
    <phoneticPr fontId="1"/>
  </si>
  <si>
    <t>H15亡失</t>
    <rPh sb="3" eb="5">
      <t>ボウシツ</t>
    </rPh>
    <phoneticPr fontId="1"/>
  </si>
  <si>
    <t>地域</t>
    <rPh sb="0" eb="2">
      <t>チイキ</t>
    </rPh>
    <phoneticPr fontId="1"/>
  </si>
  <si>
    <t>扇状地</t>
    <rPh sb="0" eb="3">
      <t>センジョウチ</t>
    </rPh>
    <phoneticPr fontId="1"/>
  </si>
  <si>
    <t>低地西</t>
    <rPh sb="0" eb="3">
      <t>テイチニシ</t>
    </rPh>
    <phoneticPr fontId="1"/>
  </si>
  <si>
    <t>低地西</t>
    <rPh sb="0" eb="2">
      <t>テイチ</t>
    </rPh>
    <rPh sb="2" eb="3">
      <t>ニシ</t>
    </rPh>
    <phoneticPr fontId="1"/>
  </si>
  <si>
    <t>新川西２条６丁目</t>
    <rPh sb="2" eb="3">
      <t>ニシ</t>
    </rPh>
    <rPh sb="4" eb="5">
      <t>ジョウ</t>
    </rPh>
    <rPh sb="6" eb="8">
      <t>チョウメ</t>
    </rPh>
    <phoneticPr fontId="1"/>
  </si>
  <si>
    <t>新川見はるかす緑地</t>
    <rPh sb="0" eb="2">
      <t>シンカワ</t>
    </rPh>
    <rPh sb="2" eb="3">
      <t>ミ</t>
    </rPh>
    <rPh sb="7" eb="9">
      <t>リョクチ</t>
    </rPh>
    <phoneticPr fontId="1"/>
  </si>
  <si>
    <t>新川西１条２丁目</t>
    <rPh sb="2" eb="3">
      <t>ニシ</t>
    </rPh>
    <rPh sb="4" eb="5">
      <t>ジョウ</t>
    </rPh>
    <rPh sb="6" eb="8">
      <t>チョウメ</t>
    </rPh>
    <phoneticPr fontId="1"/>
  </si>
  <si>
    <t>新琴似ひよどり公園</t>
    <rPh sb="0" eb="3">
      <t>シンコトニ</t>
    </rPh>
    <rPh sb="7" eb="9">
      <t>コウエン</t>
    </rPh>
    <phoneticPr fontId="1"/>
  </si>
  <si>
    <t>低地東</t>
    <rPh sb="0" eb="2">
      <t>テイチ</t>
    </rPh>
    <rPh sb="2" eb="3">
      <t>ヒガシ</t>
    </rPh>
    <phoneticPr fontId="1"/>
  </si>
  <si>
    <t>篠路町上篠路 109番地</t>
    <rPh sb="10" eb="12">
      <t>バンチ</t>
    </rPh>
    <phoneticPr fontId="1"/>
  </si>
  <si>
    <t>上篠路ひよっこ公園</t>
    <rPh sb="0" eb="1">
      <t>カミ</t>
    </rPh>
    <rPh sb="1" eb="2">
      <t>シノ</t>
    </rPh>
    <rPh sb="2" eb="3">
      <t>ロ</t>
    </rPh>
    <rPh sb="7" eb="9">
      <t>コウエン</t>
    </rPh>
    <phoneticPr fontId="1"/>
  </si>
  <si>
    <t>篠路町上篠路 21番地</t>
    <rPh sb="9" eb="11">
      <t>バンチ</t>
    </rPh>
    <phoneticPr fontId="1"/>
  </si>
  <si>
    <t>篠路町篠路 435番地</t>
    <rPh sb="9" eb="11">
      <t>バンチ</t>
    </rPh>
    <phoneticPr fontId="1"/>
  </si>
  <si>
    <t>篠路町福移 156番地</t>
    <rPh sb="9" eb="11">
      <t>バンチ</t>
    </rPh>
    <phoneticPr fontId="1"/>
  </si>
  <si>
    <t>豊畑第一公園</t>
    <rPh sb="0" eb="1">
      <t>トヨ</t>
    </rPh>
    <rPh sb="1" eb="2">
      <t>ハタケ</t>
    </rPh>
    <rPh sb="2" eb="4">
      <t>ダイイチ</t>
    </rPh>
    <rPh sb="4" eb="6">
      <t>コウエン</t>
    </rPh>
    <phoneticPr fontId="1"/>
  </si>
  <si>
    <t>北丘珠４条１丁目</t>
    <rPh sb="0" eb="1">
      <t>キタオカ</t>
    </rPh>
    <rPh sb="4" eb="5">
      <t>ジョウ</t>
    </rPh>
    <rPh sb="6" eb="8">
      <t>チョウメ</t>
    </rPh>
    <phoneticPr fontId="1"/>
  </si>
  <si>
    <t>北丘珠３条４丁目</t>
    <rPh sb="0" eb="1">
      <t>キタ</t>
    </rPh>
    <rPh sb="4" eb="5">
      <t>ジョウ</t>
    </rPh>
    <rPh sb="6" eb="8">
      <t>チョウメ</t>
    </rPh>
    <phoneticPr fontId="1"/>
  </si>
  <si>
    <t>リサイクル団地</t>
    <rPh sb="5" eb="7">
      <t>ダンチ</t>
    </rPh>
    <phoneticPr fontId="1"/>
  </si>
  <si>
    <t>米里いきいき公園</t>
    <rPh sb="0" eb="2">
      <t>ヨネサト</t>
    </rPh>
    <rPh sb="6" eb="8">
      <t>コウエン</t>
    </rPh>
    <phoneticPr fontId="1"/>
  </si>
  <si>
    <t>火山灰</t>
    <rPh sb="2" eb="3">
      <t>ハイ</t>
    </rPh>
    <phoneticPr fontId="1"/>
  </si>
  <si>
    <t>鉄興公園</t>
    <rPh sb="0" eb="1">
      <t>テツ</t>
    </rPh>
    <rPh sb="1" eb="2">
      <t>コウ</t>
    </rPh>
    <rPh sb="2" eb="4">
      <t>コウエン</t>
    </rPh>
    <phoneticPr fontId="1"/>
  </si>
  <si>
    <t>H9移設</t>
    <rPh sb="2" eb="4">
      <t>イセツ</t>
    </rPh>
    <phoneticPr fontId="1"/>
  </si>
  <si>
    <t>礫</t>
    <phoneticPr fontId="1"/>
  </si>
  <si>
    <t>西</t>
    <rPh sb="0" eb="1">
      <t>ニシ</t>
    </rPh>
    <phoneticPr fontId="1"/>
  </si>
  <si>
    <t>宮の沢そよかぜ公園</t>
    <rPh sb="0" eb="1">
      <t>ミヤ</t>
    </rPh>
    <rPh sb="2" eb="3">
      <t>サワ</t>
    </rPh>
    <rPh sb="7" eb="9">
      <t>コウエン</t>
    </rPh>
    <phoneticPr fontId="1"/>
  </si>
  <si>
    <t>市</t>
    <rPh sb="0" eb="1">
      <t>シ</t>
    </rPh>
    <phoneticPr fontId="1"/>
  </si>
  <si>
    <t>H9</t>
    <phoneticPr fontId="1"/>
  </si>
  <si>
    <t>設置</t>
    <rPh sb="0" eb="2">
      <t>セッチ</t>
    </rPh>
    <phoneticPr fontId="1"/>
  </si>
  <si>
    <t>青葉町配水池ポンプ場</t>
    <rPh sb="0" eb="2">
      <t>アオバ</t>
    </rPh>
    <rPh sb="2" eb="3">
      <t>チョウ</t>
    </rPh>
    <rPh sb="3" eb="6">
      <t>ハイスイチ</t>
    </rPh>
    <rPh sb="9" eb="10">
      <t>ジョウ</t>
    </rPh>
    <phoneticPr fontId="1"/>
  </si>
  <si>
    <t>低地東</t>
    <rPh sb="0" eb="2">
      <t>テイチニシ</t>
    </rPh>
    <rPh sb="2" eb="3">
      <t>ヒガシ</t>
    </rPh>
    <phoneticPr fontId="1"/>
  </si>
  <si>
    <t>山本北処理場</t>
    <rPh sb="0" eb="2">
      <t>ヤマモト</t>
    </rPh>
    <rPh sb="2" eb="3">
      <t>キタ</t>
    </rPh>
    <rPh sb="3" eb="6">
      <t>ショリジョウ</t>
    </rPh>
    <phoneticPr fontId="1"/>
  </si>
  <si>
    <t>山地</t>
    <rPh sb="0" eb="2">
      <t>サンチ</t>
    </rPh>
    <phoneticPr fontId="1"/>
  </si>
  <si>
    <t>清田</t>
    <rPh sb="0" eb="2">
      <t>キヨタ</t>
    </rPh>
    <phoneticPr fontId="1"/>
  </si>
  <si>
    <t>本通14丁目南６</t>
    <phoneticPr fontId="1"/>
  </si>
  <si>
    <t>東米里 2124番地</t>
    <phoneticPr fontId="1"/>
  </si>
  <si>
    <t>発寒７条13丁目</t>
    <phoneticPr fontId="1"/>
  </si>
  <si>
    <t>発寒13条11丁目</t>
    <phoneticPr fontId="1"/>
  </si>
  <si>
    <t>個人宅</t>
  </si>
  <si>
    <t>欠測</t>
    <rPh sb="0" eb="2">
      <t>ケッソク</t>
    </rPh>
    <phoneticPr fontId="1"/>
  </si>
  <si>
    <t>丘珠さつき公園</t>
    <rPh sb="0" eb="2">
      <t>オカダマ</t>
    </rPh>
    <rPh sb="5" eb="7">
      <t>コウエン</t>
    </rPh>
    <phoneticPr fontId="1"/>
  </si>
  <si>
    <t>東</t>
    <phoneticPr fontId="1"/>
  </si>
  <si>
    <t>東苗穂北公園</t>
    <rPh sb="0" eb="1">
      <t>ヒガシ</t>
    </rPh>
    <rPh sb="1" eb="3">
      <t>ナエボ</t>
    </rPh>
    <rPh sb="3" eb="4">
      <t>キタ</t>
    </rPh>
    <rPh sb="4" eb="6">
      <t>コウエン</t>
    </rPh>
    <phoneticPr fontId="1"/>
  </si>
  <si>
    <t>北24条東２丁目</t>
    <phoneticPr fontId="1"/>
  </si>
  <si>
    <t>北33条東２丁目</t>
    <phoneticPr fontId="1"/>
  </si>
  <si>
    <t>北39条東４丁目</t>
    <phoneticPr fontId="1"/>
  </si>
  <si>
    <t>北46条東６丁目</t>
    <phoneticPr fontId="1"/>
  </si>
  <si>
    <t>礫</t>
    <phoneticPr fontId="1"/>
  </si>
  <si>
    <t>H9</t>
    <phoneticPr fontId="1"/>
  </si>
  <si>
    <t>礫</t>
    <phoneticPr fontId="1"/>
  </si>
  <si>
    <t>礫</t>
    <phoneticPr fontId="1"/>
  </si>
  <si>
    <t>礫</t>
    <phoneticPr fontId="1"/>
  </si>
  <si>
    <t>たもの木公園</t>
    <phoneticPr fontId="1"/>
  </si>
  <si>
    <t>値付</t>
    <phoneticPr fontId="1"/>
  </si>
  <si>
    <t>礫</t>
    <phoneticPr fontId="1"/>
  </si>
  <si>
    <t>八軒児童会館</t>
    <phoneticPr fontId="1"/>
  </si>
  <si>
    <t>礫</t>
    <phoneticPr fontId="1"/>
  </si>
  <si>
    <t>環状夢のグリーンベルト発祥記念の森</t>
    <rPh sb="0" eb="2">
      <t>カンジョウ</t>
    </rPh>
    <rPh sb="2" eb="3">
      <t>ユメ</t>
    </rPh>
    <rPh sb="11" eb="13">
      <t>ハッショウ</t>
    </rPh>
    <rPh sb="13" eb="15">
      <t>キネン</t>
    </rPh>
    <rPh sb="16" eb="17">
      <t>モリ</t>
    </rPh>
    <phoneticPr fontId="1"/>
  </si>
  <si>
    <t>H16移設</t>
    <rPh sb="3" eb="5">
      <t>イセツ</t>
    </rPh>
    <phoneticPr fontId="1"/>
  </si>
  <si>
    <t>H16</t>
    <phoneticPr fontId="1"/>
  </si>
  <si>
    <t>H17</t>
    <phoneticPr fontId="1"/>
  </si>
  <si>
    <t>篠路町上篠路番地</t>
    <rPh sb="6" eb="8">
      <t>バンチ</t>
    </rPh>
    <phoneticPr fontId="1"/>
  </si>
  <si>
    <t>篠路町篠路番地</t>
    <rPh sb="5" eb="7">
      <t>バンチ</t>
    </rPh>
    <phoneticPr fontId="1"/>
  </si>
  <si>
    <t>篠路町福移番地</t>
    <rPh sb="5" eb="7">
      <t>バンチ</t>
    </rPh>
    <phoneticPr fontId="1"/>
  </si>
  <si>
    <t>厚別町山本番地</t>
    <rPh sb="5" eb="7">
      <t>バンチ</t>
    </rPh>
    <phoneticPr fontId="1"/>
  </si>
  <si>
    <t>屯田町番地</t>
    <phoneticPr fontId="1"/>
  </si>
  <si>
    <t>篠路町拓北番地</t>
    <phoneticPr fontId="1"/>
  </si>
  <si>
    <t>篠路町拓北番地</t>
    <phoneticPr fontId="1"/>
  </si>
  <si>
    <t>東雁来町番地</t>
    <phoneticPr fontId="1"/>
  </si>
  <si>
    <t>東雁来町番地</t>
    <phoneticPr fontId="1"/>
  </si>
  <si>
    <t>東雁来町番地</t>
    <phoneticPr fontId="1"/>
  </si>
  <si>
    <t>丘珠町番地</t>
    <phoneticPr fontId="1"/>
  </si>
  <si>
    <t>丘珠町番地</t>
    <phoneticPr fontId="1"/>
  </si>
  <si>
    <t>中沼町番地</t>
    <phoneticPr fontId="1"/>
  </si>
  <si>
    <t>東米里番地</t>
    <phoneticPr fontId="1"/>
  </si>
  <si>
    <t>東米里番地</t>
    <phoneticPr fontId="1"/>
  </si>
  <si>
    <t>川下番地</t>
    <phoneticPr fontId="1"/>
  </si>
  <si>
    <t>川北番地</t>
    <phoneticPr fontId="1"/>
  </si>
  <si>
    <t>北郷番地</t>
    <phoneticPr fontId="1"/>
  </si>
  <si>
    <t>真駒内公園番地</t>
    <phoneticPr fontId="1"/>
  </si>
  <si>
    <t>手稲山口番地</t>
    <phoneticPr fontId="1"/>
  </si>
  <si>
    <t>青葉緑地</t>
    <rPh sb="0" eb="2">
      <t>アオバ</t>
    </rPh>
    <rPh sb="2" eb="4">
      <t>リョクチ</t>
    </rPh>
    <phoneticPr fontId="1"/>
  </si>
  <si>
    <t>H17</t>
  </si>
  <si>
    <t>大谷地の森公園</t>
    <rPh sb="0" eb="3">
      <t>オオヤチ</t>
    </rPh>
    <rPh sb="4" eb="5">
      <t>モリ</t>
    </rPh>
    <rPh sb="5" eb="7">
      <t>コウエン</t>
    </rPh>
    <phoneticPr fontId="1"/>
  </si>
  <si>
    <t>H18</t>
  </si>
  <si>
    <t>個人宅</t>
    <phoneticPr fontId="1"/>
  </si>
  <si>
    <t>手稲山口番地</t>
    <phoneticPr fontId="1"/>
  </si>
  <si>
    <t>H16亡失</t>
    <rPh sb="3" eb="5">
      <t>ボウシツ</t>
    </rPh>
    <phoneticPr fontId="1"/>
  </si>
  <si>
    <t>97-04</t>
  </si>
  <si>
    <t>97-04</t>
    <phoneticPr fontId="1"/>
  </si>
  <si>
    <t>7405</t>
    <phoneticPr fontId="1"/>
  </si>
  <si>
    <t>7404</t>
    <phoneticPr fontId="1"/>
  </si>
  <si>
    <t>7403</t>
  </si>
  <si>
    <t>78-01</t>
  </si>
  <si>
    <t>78-01</t>
    <phoneticPr fontId="1"/>
  </si>
  <si>
    <t>地4</t>
  </si>
  <si>
    <t>地4</t>
    <phoneticPr fontId="1"/>
  </si>
  <si>
    <t>75-01</t>
  </si>
  <si>
    <t>75-01</t>
    <phoneticPr fontId="1"/>
  </si>
  <si>
    <t>4611</t>
    <phoneticPr fontId="1"/>
  </si>
  <si>
    <t>75-03</t>
  </si>
  <si>
    <t>地1</t>
  </si>
  <si>
    <t>地1</t>
    <phoneticPr fontId="1"/>
  </si>
  <si>
    <t>73-26</t>
  </si>
  <si>
    <t>73-01</t>
  </si>
  <si>
    <t>73-01</t>
    <phoneticPr fontId="1"/>
  </si>
  <si>
    <t>73-02</t>
    <phoneticPr fontId="1"/>
  </si>
  <si>
    <t>97-02</t>
    <phoneticPr fontId="1"/>
  </si>
  <si>
    <t>73-27</t>
  </si>
  <si>
    <t>73-03</t>
    <phoneticPr fontId="1"/>
  </si>
  <si>
    <t>73-23</t>
  </si>
  <si>
    <t>73-23</t>
    <phoneticPr fontId="1"/>
  </si>
  <si>
    <t>83-04</t>
    <phoneticPr fontId="1"/>
  </si>
  <si>
    <t>8415</t>
    <phoneticPr fontId="1"/>
  </si>
  <si>
    <t>73-28</t>
  </si>
  <si>
    <t>73-06</t>
  </si>
  <si>
    <t>73-06</t>
    <phoneticPr fontId="1"/>
  </si>
  <si>
    <t>73-18</t>
  </si>
  <si>
    <t>73-18</t>
    <phoneticPr fontId="1"/>
  </si>
  <si>
    <t>73-17</t>
  </si>
  <si>
    <t>73-16</t>
    <phoneticPr fontId="1"/>
  </si>
  <si>
    <t>8414</t>
    <phoneticPr fontId="1"/>
  </si>
  <si>
    <t>73-29</t>
  </si>
  <si>
    <t>73-29</t>
    <phoneticPr fontId="1"/>
  </si>
  <si>
    <t>78-03</t>
    <phoneticPr fontId="1"/>
  </si>
  <si>
    <t>73-24</t>
  </si>
  <si>
    <t>73-30</t>
  </si>
  <si>
    <t>73-30</t>
    <phoneticPr fontId="1"/>
  </si>
  <si>
    <t>94-01</t>
  </si>
  <si>
    <t>94-01</t>
    <phoneticPr fontId="1"/>
  </si>
  <si>
    <t>7408</t>
    <phoneticPr fontId="1"/>
  </si>
  <si>
    <t>SF316</t>
  </si>
  <si>
    <t>SF316</t>
    <phoneticPr fontId="1"/>
  </si>
  <si>
    <t>7407</t>
    <phoneticPr fontId="1"/>
  </si>
  <si>
    <t>7406</t>
    <phoneticPr fontId="1"/>
  </si>
  <si>
    <t>地3</t>
    <phoneticPr fontId="1"/>
  </si>
  <si>
    <t>73-04</t>
    <phoneticPr fontId="1"/>
  </si>
  <si>
    <t>75-04</t>
    <phoneticPr fontId="1"/>
  </si>
  <si>
    <t>8416</t>
    <phoneticPr fontId="1"/>
  </si>
  <si>
    <t>73-05</t>
    <phoneticPr fontId="1"/>
  </si>
  <si>
    <t>73-07</t>
  </si>
  <si>
    <t>73-07</t>
    <phoneticPr fontId="1"/>
  </si>
  <si>
    <t>73-08</t>
    <phoneticPr fontId="1"/>
  </si>
  <si>
    <t>74-07</t>
  </si>
  <si>
    <t>74-07</t>
    <phoneticPr fontId="1"/>
  </si>
  <si>
    <t>85-01</t>
  </si>
  <si>
    <t>85-01</t>
    <phoneticPr fontId="1"/>
  </si>
  <si>
    <t>83-02</t>
  </si>
  <si>
    <t>8413</t>
    <phoneticPr fontId="1"/>
  </si>
  <si>
    <t>8561</t>
    <phoneticPr fontId="1"/>
  </si>
  <si>
    <t>SF317</t>
    <phoneticPr fontId="1"/>
  </si>
  <si>
    <t>7410</t>
    <phoneticPr fontId="1"/>
  </si>
  <si>
    <t>74-20</t>
  </si>
  <si>
    <t>74-20</t>
    <phoneticPr fontId="1"/>
  </si>
  <si>
    <t>77-07</t>
    <phoneticPr fontId="1"/>
  </si>
  <si>
    <t>7409</t>
    <phoneticPr fontId="1"/>
  </si>
  <si>
    <t>95-02</t>
    <phoneticPr fontId="1"/>
  </si>
  <si>
    <t>73-15</t>
    <phoneticPr fontId="1"/>
  </si>
  <si>
    <t>01-01</t>
    <phoneticPr fontId="1"/>
  </si>
  <si>
    <t>73-20</t>
  </si>
  <si>
    <t>73-20</t>
    <phoneticPr fontId="1"/>
  </si>
  <si>
    <t>73-21</t>
  </si>
  <si>
    <t>73-21</t>
    <phoneticPr fontId="1"/>
  </si>
  <si>
    <t>8417</t>
    <phoneticPr fontId="1"/>
  </si>
  <si>
    <t>74-01</t>
    <phoneticPr fontId="1"/>
  </si>
  <si>
    <t>74-03</t>
  </si>
  <si>
    <t>74-04</t>
  </si>
  <si>
    <t>74-05</t>
  </si>
  <si>
    <t>76-01</t>
    <phoneticPr fontId="1"/>
  </si>
  <si>
    <t>85-02</t>
    <phoneticPr fontId="1"/>
  </si>
  <si>
    <t>85-03</t>
  </si>
  <si>
    <t>77-01</t>
    <phoneticPr fontId="1"/>
  </si>
  <si>
    <t>77-03</t>
  </si>
  <si>
    <t>78-05</t>
    <phoneticPr fontId="1"/>
  </si>
  <si>
    <t>73-10</t>
  </si>
  <si>
    <t>73-10</t>
    <phoneticPr fontId="1"/>
  </si>
  <si>
    <t>78-09</t>
    <phoneticPr fontId="1"/>
  </si>
  <si>
    <t>77-06</t>
  </si>
  <si>
    <t>77-06</t>
    <phoneticPr fontId="1"/>
  </si>
  <si>
    <t>97-03</t>
  </si>
  <si>
    <t>97-03</t>
    <phoneticPr fontId="1"/>
  </si>
  <si>
    <t>4603</t>
    <phoneticPr fontId="1"/>
  </si>
  <si>
    <t>4604</t>
    <phoneticPr fontId="1"/>
  </si>
  <si>
    <t>4605</t>
    <phoneticPr fontId="1"/>
  </si>
  <si>
    <t>74-06</t>
    <phoneticPr fontId="1"/>
  </si>
  <si>
    <t>78-08</t>
  </si>
  <si>
    <t>78-08</t>
    <phoneticPr fontId="1"/>
  </si>
  <si>
    <t>79-07</t>
  </si>
  <si>
    <t>79-07</t>
    <phoneticPr fontId="1"/>
  </si>
  <si>
    <t>77-04</t>
  </si>
  <si>
    <t>77-04</t>
    <phoneticPr fontId="1"/>
  </si>
  <si>
    <t>77-05</t>
  </si>
  <si>
    <t>78-04</t>
  </si>
  <si>
    <t>78-04</t>
    <phoneticPr fontId="1"/>
  </si>
  <si>
    <t>78-06</t>
  </si>
  <si>
    <t>78-06</t>
    <phoneticPr fontId="1"/>
  </si>
  <si>
    <t>78-07</t>
  </si>
  <si>
    <t>05-01</t>
  </si>
  <si>
    <t>05-01</t>
    <phoneticPr fontId="1"/>
  </si>
  <si>
    <t>04-01</t>
  </si>
  <si>
    <t>04-01</t>
    <phoneticPr fontId="1"/>
  </si>
  <si>
    <t>73-12</t>
  </si>
  <si>
    <t>8560</t>
    <phoneticPr fontId="1"/>
  </si>
  <si>
    <t>74-24</t>
  </si>
  <si>
    <t>74-23</t>
  </si>
  <si>
    <t>8559</t>
    <phoneticPr fontId="1"/>
  </si>
  <si>
    <t>8558</t>
    <phoneticPr fontId="1"/>
  </si>
  <si>
    <t>74-25</t>
  </si>
  <si>
    <t>74-26</t>
  </si>
  <si>
    <t>78-11</t>
    <phoneticPr fontId="1"/>
  </si>
  <si>
    <t>84-01</t>
  </si>
  <si>
    <t>84-01</t>
    <phoneticPr fontId="1"/>
  </si>
  <si>
    <t>97-01</t>
  </si>
  <si>
    <t>97-01</t>
    <phoneticPr fontId="1"/>
  </si>
  <si>
    <t>81-01</t>
  </si>
  <si>
    <t>81-01</t>
    <phoneticPr fontId="1"/>
  </si>
  <si>
    <t>78-13</t>
  </si>
  <si>
    <t>78-13</t>
    <phoneticPr fontId="1"/>
  </si>
  <si>
    <t>74-21</t>
  </si>
  <si>
    <t>75-06</t>
  </si>
  <si>
    <t>75-06</t>
    <phoneticPr fontId="1"/>
  </si>
  <si>
    <t>83-03</t>
    <phoneticPr fontId="1"/>
  </si>
  <si>
    <t>74-17</t>
  </si>
  <si>
    <t>74-17</t>
    <phoneticPr fontId="1"/>
  </si>
  <si>
    <t>74-18</t>
  </si>
  <si>
    <t>74-18</t>
    <phoneticPr fontId="1"/>
  </si>
  <si>
    <t>84-02</t>
  </si>
  <si>
    <t>79-02</t>
  </si>
  <si>
    <t>79-03</t>
  </si>
  <si>
    <t>79-03</t>
    <phoneticPr fontId="1"/>
  </si>
  <si>
    <t>79-01</t>
    <phoneticPr fontId="1"/>
  </si>
  <si>
    <t>74-16</t>
  </si>
  <si>
    <t>74-16</t>
    <phoneticPr fontId="1"/>
  </si>
  <si>
    <t>8557</t>
    <phoneticPr fontId="1"/>
  </si>
  <si>
    <t>4598</t>
    <phoneticPr fontId="1"/>
  </si>
  <si>
    <t>74-15</t>
  </si>
  <si>
    <t>74-15</t>
    <phoneticPr fontId="1"/>
  </si>
  <si>
    <t>79-06</t>
  </si>
  <si>
    <t>79-06</t>
    <phoneticPr fontId="1"/>
  </si>
  <si>
    <t>78-14</t>
  </si>
  <si>
    <t>78-14</t>
    <phoneticPr fontId="1"/>
  </si>
  <si>
    <t>8555</t>
    <phoneticPr fontId="1"/>
  </si>
  <si>
    <t>8556</t>
    <phoneticPr fontId="1"/>
  </si>
  <si>
    <t>74-14</t>
  </si>
  <si>
    <t>74-14</t>
    <phoneticPr fontId="1"/>
  </si>
  <si>
    <t>74-13</t>
  </si>
  <si>
    <t>74-13</t>
    <phoneticPr fontId="1"/>
  </si>
  <si>
    <t>83-05</t>
  </si>
  <si>
    <t>83-05</t>
    <phoneticPr fontId="1"/>
  </si>
  <si>
    <t>74-11</t>
    <phoneticPr fontId="1"/>
  </si>
  <si>
    <t>04-02</t>
  </si>
  <si>
    <t>05-02</t>
  </si>
  <si>
    <t>06-01</t>
  </si>
  <si>
    <t>06-01</t>
    <phoneticPr fontId="1"/>
  </si>
  <si>
    <t>79-04</t>
  </si>
  <si>
    <t>79-04</t>
    <phoneticPr fontId="1"/>
  </si>
  <si>
    <t>84-03</t>
  </si>
  <si>
    <t>84-03</t>
    <phoneticPr fontId="1"/>
  </si>
  <si>
    <t>75-07</t>
  </si>
  <si>
    <t>75-07</t>
    <phoneticPr fontId="1"/>
  </si>
  <si>
    <t>水準点
番号</t>
    <phoneticPr fontId="1"/>
  </si>
  <si>
    <t>H25亡失</t>
    <rPh sb="3" eb="5">
      <t>ボウシツ</t>
    </rPh>
    <phoneticPr fontId="1"/>
  </si>
  <si>
    <t>SF315</t>
    <phoneticPr fontId="1"/>
  </si>
  <si>
    <t>H26亡失</t>
    <rPh sb="3" eb="5">
      <t>ボウシツ</t>
    </rPh>
    <phoneticPr fontId="1"/>
  </si>
  <si>
    <t>3年累積</t>
    <rPh sb="1" eb="2">
      <t>ネン</t>
    </rPh>
    <rPh sb="2" eb="4">
      <t>ルイセキ</t>
    </rPh>
    <phoneticPr fontId="1"/>
  </si>
  <si>
    <t>4年累積</t>
    <rPh sb="1" eb="2">
      <t>ネン</t>
    </rPh>
    <rPh sb="2" eb="4">
      <t>ルイセキ</t>
    </rPh>
    <phoneticPr fontId="1"/>
  </si>
  <si>
    <t>5年累積</t>
    <rPh sb="1" eb="2">
      <t>ネン</t>
    </rPh>
    <rPh sb="2" eb="4">
      <t>ルイセキ</t>
    </rPh>
    <phoneticPr fontId="1"/>
  </si>
  <si>
    <t>白石</t>
    <phoneticPr fontId="1"/>
  </si>
  <si>
    <t>-</t>
    <phoneticPr fontId="1"/>
  </si>
  <si>
    <t>値付</t>
    <rPh sb="0" eb="1">
      <t>アタイ</t>
    </rPh>
    <rPh sb="1" eb="2">
      <t>ツ</t>
    </rPh>
    <phoneticPr fontId="1"/>
  </si>
  <si>
    <t>H24</t>
    <phoneticPr fontId="1"/>
  </si>
  <si>
    <t>H23</t>
    <phoneticPr fontId="1"/>
  </si>
  <si>
    <t>H28亡失</t>
    <rPh sb="3" eb="5">
      <t>ボウシツ</t>
    </rPh>
    <phoneticPr fontId="1"/>
  </si>
  <si>
    <t>H27亡失</t>
    <rPh sb="3" eb="5">
      <t>ボウシツ</t>
    </rPh>
    <phoneticPr fontId="1"/>
  </si>
  <si>
    <t>H29</t>
  </si>
  <si>
    <t>H30</t>
  </si>
  <si>
    <t>H30</t>
    <phoneticPr fontId="1"/>
  </si>
  <si>
    <t>旧標高[m]</t>
    <rPh sb="0" eb="1">
      <t>キュウ</t>
    </rPh>
    <rPh sb="1" eb="3">
      <t>ヒョウコウ</t>
    </rPh>
    <phoneticPr fontId="1"/>
  </si>
  <si>
    <t>粘土,ｼﾙﾄ</t>
  </si>
  <si>
    <t>粘土,ｼﾙﾄ</t>
    <phoneticPr fontId="1"/>
  </si>
  <si>
    <t>市街</t>
  </si>
  <si>
    <t>市街</t>
    <phoneticPr fontId="1"/>
  </si>
  <si>
    <t>H14</t>
  </si>
  <si>
    <t>-</t>
  </si>
  <si>
    <t>H8</t>
  </si>
  <si>
    <t>H14</t>
    <phoneticPr fontId="1"/>
  </si>
  <si>
    <t>台地,丘陵</t>
    <rPh sb="0" eb="2">
      <t>ダイチ</t>
    </rPh>
    <rPh sb="3" eb="5">
      <t>キュウリョウ</t>
    </rPh>
    <phoneticPr fontId="1"/>
  </si>
  <si>
    <t>H27</t>
  </si>
  <si>
    <t>H28</t>
  </si>
  <si>
    <t>H23</t>
  </si>
  <si>
    <t>H26</t>
  </si>
  <si>
    <t>H24</t>
  </si>
  <si>
    <t>H25</t>
  </si>
  <si>
    <t>H20</t>
  </si>
  <si>
    <t>H16</t>
  </si>
  <si>
    <t>H22</t>
  </si>
  <si>
    <t>南1条西14丁目</t>
  </si>
  <si>
    <t>北14条東1丁目</t>
  </si>
  <si>
    <t>苗穂町16丁目</t>
  </si>
  <si>
    <t>月寒東1条16丁目</t>
  </si>
  <si>
    <t>発寒13条11丁目</t>
  </si>
  <si>
    <t>八軒1条西1丁目</t>
  </si>
  <si>
    <t>北2条西25丁目</t>
  </si>
  <si>
    <t>北1条西2丁目</t>
  </si>
  <si>
    <t>北19条西2丁目</t>
  </si>
  <si>
    <t>新川西1条2丁目</t>
    <rPh sb="2" eb="3">
      <t>ニシ</t>
    </rPh>
    <rPh sb="4" eb="5">
      <t>ジョウ</t>
    </rPh>
    <rPh sb="6" eb="8">
      <t>チョウメ</t>
    </rPh>
    <phoneticPr fontId="1"/>
  </si>
  <si>
    <t>篠路1条2丁目</t>
  </si>
  <si>
    <t>東茨戸1条2丁目</t>
  </si>
  <si>
    <t>北24条東2丁目</t>
  </si>
  <si>
    <t>北33条東2丁目</t>
  </si>
  <si>
    <t>伏古1条2丁目</t>
  </si>
  <si>
    <t>東雁来2条1丁目</t>
    <rPh sb="4" eb="5">
      <t>ジョウ</t>
    </rPh>
    <rPh sb="6" eb="8">
      <t>チョウメ</t>
    </rPh>
    <phoneticPr fontId="1"/>
  </si>
  <si>
    <t>中央2条1丁目</t>
  </si>
  <si>
    <t>平岸2条1丁目</t>
  </si>
  <si>
    <t>山の手2条1丁目</t>
  </si>
  <si>
    <t>大谷地西2丁目</t>
  </si>
  <si>
    <t>星置南2丁目</t>
  </si>
  <si>
    <t>新川3条3丁目</t>
  </si>
  <si>
    <t>北郷3条11丁目</t>
  </si>
  <si>
    <t>厚別北3条3丁目</t>
  </si>
  <si>
    <t>手稲本町3条2丁目</t>
  </si>
  <si>
    <t>73-11</t>
    <phoneticPr fontId="1"/>
  </si>
  <si>
    <t>73-13</t>
    <phoneticPr fontId="1"/>
  </si>
  <si>
    <t>73-14</t>
    <phoneticPr fontId="1"/>
  </si>
  <si>
    <t>J30</t>
    <phoneticPr fontId="1"/>
  </si>
  <si>
    <t>77-07</t>
    <phoneticPr fontId="1"/>
  </si>
  <si>
    <t>78-03</t>
    <phoneticPr fontId="1"/>
  </si>
  <si>
    <t>75-02</t>
    <phoneticPr fontId="1"/>
  </si>
  <si>
    <t>75-03</t>
    <phoneticPr fontId="1"/>
  </si>
  <si>
    <t>73-27</t>
    <phoneticPr fontId="1"/>
  </si>
  <si>
    <t>73-03</t>
    <phoneticPr fontId="1"/>
  </si>
  <si>
    <t>地3</t>
    <phoneticPr fontId="1"/>
  </si>
  <si>
    <t>74-02</t>
    <phoneticPr fontId="1"/>
  </si>
  <si>
    <t>74-03</t>
    <phoneticPr fontId="1"/>
  </si>
  <si>
    <t>74-04</t>
    <phoneticPr fontId="1"/>
  </si>
  <si>
    <t>74-05</t>
    <phoneticPr fontId="1"/>
  </si>
  <si>
    <t>85-03</t>
    <phoneticPr fontId="1"/>
  </si>
  <si>
    <t>77-02</t>
    <phoneticPr fontId="1"/>
  </si>
  <si>
    <t>12-01</t>
  </si>
  <si>
    <t>SF315</t>
  </si>
  <si>
    <t>No.</t>
    <phoneticPr fontId="1"/>
  </si>
  <si>
    <t>3023</t>
    <phoneticPr fontId="1"/>
  </si>
  <si>
    <t>-</t>
    <phoneticPr fontId="1"/>
  </si>
  <si>
    <t>-</t>
    <phoneticPr fontId="1"/>
  </si>
  <si>
    <t>備　考</t>
    <phoneticPr fontId="1"/>
  </si>
  <si>
    <t>住　所</t>
    <phoneticPr fontId="1"/>
  </si>
  <si>
    <t>No.</t>
    <phoneticPr fontId="1"/>
  </si>
  <si>
    <t>設置場所</t>
    <phoneticPr fontId="1"/>
  </si>
  <si>
    <t>S49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</si>
  <si>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</si>
  <si>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</si>
  <si>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</si>
  <si>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</si>
  <si>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</si>
  <si>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</si>
  <si>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</si>
  <si>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</si>
  <si>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</si>
  <si>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</si>
  <si>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</si>
  <si>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</si>
  <si>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</si>
  <si>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H7</t>
  </si>
  <si>
    <t>H10</t>
  </si>
  <si>
    <t>H11</t>
  </si>
  <si>
    <t>H12</t>
  </si>
  <si>
    <t>H13</t>
  </si>
  <si>
    <t>H15</t>
  </si>
  <si>
    <t>H19</t>
  </si>
  <si>
    <t>H21</t>
  </si>
  <si>
    <t>[m]</t>
    <phoneticPr fontId="1"/>
  </si>
  <si>
    <t>標高</t>
    <phoneticPr fontId="1"/>
  </si>
  <si>
    <t>J30</t>
    <phoneticPr fontId="1"/>
  </si>
  <si>
    <t>年度</t>
    <rPh sb="0" eb="2">
      <t>ネンド</t>
    </rPh>
    <phoneticPr fontId="1"/>
  </si>
  <si>
    <t>区</t>
    <phoneticPr fontId="1"/>
  </si>
  <si>
    <t>2年累積</t>
  </si>
  <si>
    <t>2年累積</t>
    <rPh sb="1" eb="2">
      <t>ネン</t>
    </rPh>
    <rPh sb="2" eb="4">
      <t>ルイセキ</t>
    </rPh>
    <phoneticPr fontId="1"/>
  </si>
  <si>
    <t>東苗穂11条2丁目</t>
  </si>
  <si>
    <t>平岸2条14丁目</t>
  </si>
  <si>
    <t>真駒内東町2丁目</t>
  </si>
  <si>
    <t>大谷地東2丁目</t>
  </si>
  <si>
    <t>大谷地西2丁目</t>
    <rPh sb="0" eb="3">
      <t>オオヤチ</t>
    </rPh>
    <phoneticPr fontId="1"/>
  </si>
  <si>
    <t>本通1丁目北</t>
  </si>
  <si>
    <t>本通17丁目南</t>
  </si>
  <si>
    <t>本通14丁目南</t>
  </si>
  <si>
    <t>平岸1条22丁目</t>
  </si>
  <si>
    <t>真駒内南町1丁目</t>
  </si>
  <si>
    <t>西町南13丁目</t>
  </si>
  <si>
    <t>北野3条2丁目</t>
  </si>
  <si>
    <t>北4条東3丁目</t>
  </si>
  <si>
    <t>北3条西4丁目</t>
  </si>
  <si>
    <t>4年累積</t>
  </si>
  <si>
    <t>屯田4条2丁目</t>
  </si>
  <si>
    <t>あいの里4条2丁目</t>
  </si>
  <si>
    <t>北25条東4丁目</t>
  </si>
  <si>
    <t>北39条東4丁目</t>
  </si>
  <si>
    <t>北丘珠4条1丁目</t>
    <rPh sb="0" eb="1">
      <t>キタオカ</t>
    </rPh>
    <rPh sb="4" eb="5">
      <t>ジョウ</t>
    </rPh>
    <rPh sb="6" eb="8">
      <t>チョウメ</t>
    </rPh>
    <phoneticPr fontId="1"/>
  </si>
  <si>
    <t>北丘珠3条4丁目</t>
    <rPh sb="0" eb="1">
      <t>キタ</t>
    </rPh>
    <rPh sb="4" eb="5">
      <t>ジョウ</t>
    </rPh>
    <rPh sb="6" eb="8">
      <t>チョウメ</t>
    </rPh>
    <phoneticPr fontId="1"/>
  </si>
  <si>
    <t>厚別東2条4丁目</t>
  </si>
  <si>
    <t>厚別中央4条3丁目</t>
  </si>
  <si>
    <t>厚別西4条3丁目</t>
  </si>
  <si>
    <t>富丘2条4丁目</t>
  </si>
  <si>
    <t>清田1条4丁目</t>
  </si>
  <si>
    <t>北2条西5丁目</t>
  </si>
  <si>
    <t>新川5条15丁目</t>
  </si>
  <si>
    <t>新琴似5条11丁目</t>
  </si>
  <si>
    <t>太平5条1丁目</t>
  </si>
  <si>
    <t>東札幌4条5丁目</t>
  </si>
  <si>
    <t>本通5丁目南</t>
  </si>
  <si>
    <t>米里5条1丁目</t>
    <rPh sb="3" eb="4">
      <t>ジョウ</t>
    </rPh>
    <rPh sb="5" eb="7">
      <t>チョウメ</t>
    </rPh>
    <phoneticPr fontId="1"/>
  </si>
  <si>
    <t>宮の沢1条5丁目</t>
  </si>
  <si>
    <t>宮の沢1条5丁目</t>
    <rPh sb="0" eb="1">
      <t>ミヤ</t>
    </rPh>
    <rPh sb="2" eb="3">
      <t>サワ</t>
    </rPh>
    <phoneticPr fontId="1"/>
  </si>
  <si>
    <t>厚別中央3条5丁目</t>
  </si>
  <si>
    <t>手稲本町2条5丁目</t>
  </si>
  <si>
    <t>新発寒5条4丁目</t>
  </si>
  <si>
    <t>73-13</t>
    <phoneticPr fontId="1"/>
  </si>
  <si>
    <t>大通東6丁目</t>
  </si>
  <si>
    <t>新川西2条6丁目</t>
    <rPh sb="2" eb="3">
      <t>ニシ</t>
    </rPh>
    <rPh sb="4" eb="5">
      <t>ジョウ</t>
    </rPh>
    <rPh sb="6" eb="8">
      <t>チョウメ</t>
    </rPh>
    <phoneticPr fontId="1"/>
  </si>
  <si>
    <t>6年累積</t>
  </si>
  <si>
    <t>新琴似6条17丁目</t>
    <rPh sb="4" eb="5">
      <t>ジョウ</t>
    </rPh>
    <rPh sb="7" eb="9">
      <t>チョウメ</t>
    </rPh>
    <phoneticPr fontId="1"/>
  </si>
  <si>
    <t>篠路6条1丁目</t>
  </si>
  <si>
    <t>あいの里3条6丁目</t>
  </si>
  <si>
    <t>拓北6条2丁目</t>
  </si>
  <si>
    <t>北46条東6丁目</t>
  </si>
  <si>
    <t>6年累積</t>
    <rPh sb="1" eb="2">
      <t>ネン</t>
    </rPh>
    <rPh sb="2" eb="4">
      <t>ルイセキ</t>
    </rPh>
    <phoneticPr fontId="1"/>
  </si>
  <si>
    <t>北郷6条3丁目</t>
  </si>
  <si>
    <t>福住2条6丁目</t>
  </si>
  <si>
    <t>厚別南6丁目</t>
  </si>
  <si>
    <t>もみじ台西6丁目</t>
  </si>
  <si>
    <t>曙6条3丁目</t>
  </si>
  <si>
    <t>稲穂3条6丁目</t>
  </si>
  <si>
    <t>手稲6条11丁目</t>
  </si>
  <si>
    <t>北1条東7丁目</t>
  </si>
  <si>
    <t>東7丁目緑地</t>
    <rPh sb="0" eb="1">
      <t>ヒガシ</t>
    </rPh>
    <rPh sb="2" eb="4">
      <t>チョウメ</t>
    </rPh>
    <rPh sb="4" eb="6">
      <t>リョクチ</t>
    </rPh>
    <phoneticPr fontId="1"/>
  </si>
  <si>
    <t>7年累積</t>
    <rPh sb="1" eb="2">
      <t>ネン</t>
    </rPh>
    <rPh sb="2" eb="4">
      <t>ルイセキ</t>
    </rPh>
    <phoneticPr fontId="1"/>
  </si>
  <si>
    <t>北24条西7丁目</t>
  </si>
  <si>
    <t>新琴似7条3丁目</t>
  </si>
  <si>
    <t>新琴似7条6丁目</t>
  </si>
  <si>
    <t>屯田7条6丁目</t>
  </si>
  <si>
    <t>東苗穂7条2丁目</t>
  </si>
  <si>
    <t>発寒7条13丁目</t>
  </si>
  <si>
    <t>琴似2条7丁目</t>
  </si>
  <si>
    <t>八軒7条東1丁目</t>
  </si>
  <si>
    <t>青葉町7丁目</t>
  </si>
  <si>
    <t>前田7条15丁目</t>
    <rPh sb="3" eb="4">
      <t>ジョウ</t>
    </rPh>
    <rPh sb="6" eb="8">
      <t>チョウメ</t>
    </rPh>
    <phoneticPr fontId="1"/>
  </si>
  <si>
    <t>平岡7条3丁目</t>
  </si>
  <si>
    <t>8年累積</t>
    <rPh sb="1" eb="2">
      <t>ネン</t>
    </rPh>
    <rPh sb="2" eb="4">
      <t>ルイセキ</t>
    </rPh>
    <phoneticPr fontId="1"/>
  </si>
  <si>
    <t>南8条西2丁目</t>
  </si>
  <si>
    <t>麻生町8丁目</t>
  </si>
  <si>
    <t>伏古8条1丁目</t>
  </si>
  <si>
    <t>菊水8条1丁目</t>
  </si>
  <si>
    <t>豊平8条13丁目</t>
  </si>
  <si>
    <t>北9条西1丁目</t>
  </si>
  <si>
    <t>北18条西9丁目</t>
  </si>
  <si>
    <t>篠路4条9丁目</t>
  </si>
  <si>
    <t>平和通9丁目南</t>
  </si>
  <si>
    <t>西岡2条9丁目</t>
  </si>
  <si>
    <t>東苗穂10条2丁目</t>
    <rPh sb="0" eb="1">
      <t>ヒガシ</t>
    </rPh>
    <rPh sb="1" eb="3">
      <t>ナエボ</t>
    </rPh>
    <rPh sb="5" eb="6">
      <t>ジョウ</t>
    </rPh>
    <rPh sb="7" eb="9">
      <t>チョウメ</t>
    </rPh>
    <phoneticPr fontId="1"/>
  </si>
  <si>
    <t>美園10条8丁目</t>
  </si>
  <si>
    <t>市街</t>
    <phoneticPr fontId="1"/>
  </si>
  <si>
    <t>市街</t>
    <phoneticPr fontId="1"/>
  </si>
  <si>
    <t>礫,</t>
  </si>
  <si>
    <t>H14亡失</t>
    <rPh sb="3" eb="5">
      <t>ボウシツ</t>
    </rPh>
    <phoneticPr fontId="1"/>
  </si>
  <si>
    <t>H26亡失</t>
    <phoneticPr fontId="1"/>
  </si>
  <si>
    <t>S60亡失</t>
    <rPh sb="3" eb="5">
      <t>ボウシツ</t>
    </rPh>
    <phoneticPr fontId="1"/>
  </si>
  <si>
    <t>H24亡失</t>
    <rPh sb="3" eb="5">
      <t>ボウシツ</t>
    </rPh>
    <phoneticPr fontId="1"/>
  </si>
  <si>
    <t>H3廃止</t>
    <rPh sb="2" eb="4">
      <t>ハイシ</t>
    </rPh>
    <phoneticPr fontId="1"/>
  </si>
  <si>
    <t>H9亡失</t>
    <rPh sb="2" eb="4">
      <t>ボウシツ</t>
    </rPh>
    <phoneticPr fontId="1"/>
  </si>
  <si>
    <t>S60亡失</t>
    <phoneticPr fontId="1"/>
  </si>
  <si>
    <t>H6亡失</t>
    <phoneticPr fontId="1"/>
  </si>
  <si>
    <t>H11移転</t>
    <rPh sb="3" eb="5">
      <t>イテン</t>
    </rPh>
    <phoneticPr fontId="1"/>
  </si>
  <si>
    <t>NO.</t>
  </si>
  <si>
    <t>水準点番号</t>
  </si>
  <si>
    <t xml:space="preserve">   住      所</t>
  </si>
  <si>
    <t>昭和  49</t>
  </si>
  <si>
    <t>平成元</t>
  </si>
  <si>
    <t>6</t>
  </si>
  <si>
    <t>標高(m)</t>
  </si>
  <si>
    <t>標高年度</t>
  </si>
  <si>
    <t xml:space="preserve">      備            考</t>
  </si>
  <si>
    <t>累積沈下量</t>
  </si>
  <si>
    <t>７３－１１</t>
  </si>
  <si>
    <t>市街化</t>
  </si>
  <si>
    <t>３年累積</t>
  </si>
  <si>
    <t>H2～H4参考値</t>
  </si>
  <si>
    <t>８５６１</t>
  </si>
  <si>
    <t>北２条東７丁目</t>
  </si>
  <si>
    <t>藤光鋼材</t>
  </si>
  <si>
    <t>７３－１３</t>
  </si>
  <si>
    <t>７３－１４</t>
  </si>
  <si>
    <t>Ｊ３０</t>
  </si>
  <si>
    <t>S56亡失,61年度復活,H2移転,H4参考値</t>
  </si>
  <si>
    <t>ＳＦ３１７</t>
  </si>
  <si>
    <t>２年累積</t>
  </si>
  <si>
    <t>７４１０</t>
  </si>
  <si>
    <t>４年累積</t>
  </si>
  <si>
    <t>７４－２０</t>
  </si>
  <si>
    <t>７７－０７</t>
  </si>
  <si>
    <t>８年累積</t>
  </si>
  <si>
    <t>７４０９</t>
  </si>
  <si>
    <t>７３－１５</t>
  </si>
  <si>
    <t>７８－０３</t>
  </si>
  <si>
    <t>粘土・ｼﾙﾄ</t>
  </si>
  <si>
    <t>７３－２９</t>
  </si>
  <si>
    <t>８３－０１</t>
  </si>
  <si>
    <t>S58移設(旧73-19),S57,58欠測</t>
  </si>
  <si>
    <t>７３－２０</t>
  </si>
  <si>
    <t>７３－２１</t>
  </si>
  <si>
    <t>７３－０２</t>
  </si>
  <si>
    <t>A</t>
  </si>
  <si>
    <t>S60A</t>
  </si>
  <si>
    <t>７５－０２</t>
  </si>
  <si>
    <t>新川６９０番地</t>
  </si>
  <si>
    <t>新川公園</t>
  </si>
  <si>
    <t>６年累積</t>
  </si>
  <si>
    <t>H3A</t>
  </si>
  <si>
    <t>７５－０３</t>
  </si>
  <si>
    <t>新川６７６番地</t>
  </si>
  <si>
    <t>８３－０４</t>
  </si>
  <si>
    <t>S58移設(旧73-22），S58欠測</t>
  </si>
  <si>
    <t>７３－２３</t>
  </si>
  <si>
    <t>７３－２７</t>
  </si>
  <si>
    <t>７３－０３</t>
  </si>
  <si>
    <t>７５－０５</t>
  </si>
  <si>
    <t>新琴似町 793番地</t>
  </si>
  <si>
    <t>菱東東亜興業</t>
  </si>
  <si>
    <t>７３－０５</t>
  </si>
  <si>
    <t>７３－０４</t>
  </si>
  <si>
    <t>S62移転ﾃﾞｰﾀ生き</t>
  </si>
  <si>
    <t>７５－０４</t>
  </si>
  <si>
    <t>屯田町７４０番地</t>
  </si>
  <si>
    <t>鈴木宅</t>
  </si>
  <si>
    <t>地３</t>
  </si>
  <si>
    <t>屯田町９５４番地</t>
  </si>
  <si>
    <t>８４１５</t>
  </si>
  <si>
    <t>S54A,S55A</t>
  </si>
  <si>
    <t>８４１６</t>
  </si>
  <si>
    <t>S59A,S60A,H2A</t>
  </si>
  <si>
    <t>８４１７</t>
  </si>
  <si>
    <t>S62再設,ﾃﾞｰﾀ生き</t>
  </si>
  <si>
    <t>７４－０１</t>
  </si>
  <si>
    <t>S55A,S62再設,H2値付け</t>
  </si>
  <si>
    <t>７４－０２</t>
  </si>
  <si>
    <t>S52A,53A</t>
  </si>
  <si>
    <t>７４－０３</t>
  </si>
  <si>
    <t>７４－０４</t>
  </si>
  <si>
    <t>篠路町上篠路109</t>
  </si>
  <si>
    <t>北光団地</t>
  </si>
  <si>
    <t>７４－０５</t>
  </si>
  <si>
    <t>篠路町上篠路２１</t>
  </si>
  <si>
    <t>遠島宅</t>
  </si>
  <si>
    <t>７６－０１</t>
  </si>
  <si>
    <t>篠路町篠路４２５</t>
  </si>
  <si>
    <t>８５－０２</t>
  </si>
  <si>
    <t>山口農事組合会館</t>
  </si>
  <si>
    <t>S60移設(旧76-02),H2値付け</t>
  </si>
  <si>
    <t>８５－０３</t>
  </si>
  <si>
    <t>S60移設(旧76-03),H2値付け</t>
  </si>
  <si>
    <t>７７－０１</t>
  </si>
  <si>
    <t>７７－０２</t>
  </si>
  <si>
    <t>篠路町福移１５６</t>
  </si>
  <si>
    <t>S54A,S57A</t>
  </si>
  <si>
    <t>７７－０３</t>
  </si>
  <si>
    <t>篠路町拓北３番地</t>
  </si>
  <si>
    <t>元木宅</t>
  </si>
  <si>
    <t>７８－０５</t>
  </si>
  <si>
    <t>篠路町拓北30番地</t>
  </si>
  <si>
    <t>８４１３</t>
  </si>
  <si>
    <t>北１４条東１丁目</t>
  </si>
  <si>
    <t>８４１４</t>
  </si>
  <si>
    <t>北２４条東２丁目</t>
  </si>
  <si>
    <t>７３－０８</t>
  </si>
  <si>
    <t>７３－１６</t>
  </si>
  <si>
    <t>北２５条東４丁目</t>
  </si>
  <si>
    <t>７３－０７</t>
  </si>
  <si>
    <t>７３－１７</t>
  </si>
  <si>
    <t>北３３条東２丁目</t>
  </si>
  <si>
    <t>７３－１８</t>
  </si>
  <si>
    <t>北３９条東４丁目</t>
  </si>
  <si>
    <t>７３－０６</t>
  </si>
  <si>
    <t>７３－２８</t>
  </si>
  <si>
    <t>北４６条東６丁目</t>
  </si>
  <si>
    <t>S54A</t>
  </si>
  <si>
    <t>８３－０２</t>
  </si>
  <si>
    <t>S58移設(旧73-09),S58欠測</t>
  </si>
  <si>
    <t>７４－０７</t>
  </si>
  <si>
    <t>７３－１０</t>
  </si>
  <si>
    <t>苗穂町１６丁目</t>
  </si>
  <si>
    <t>８５－０１</t>
  </si>
  <si>
    <t>S59移設(旧74-08)</t>
  </si>
  <si>
    <t>７８－０９</t>
  </si>
  <si>
    <t>東苗穂11条２丁目</t>
  </si>
  <si>
    <t>五十嵐宅</t>
  </si>
  <si>
    <t>７７－０６</t>
  </si>
  <si>
    <t>S60再設</t>
  </si>
  <si>
    <t>７８－１０</t>
  </si>
  <si>
    <t>東雁来町 361番地</t>
  </si>
  <si>
    <t>豊畑神社</t>
  </si>
  <si>
    <t>S59A,S63亡失</t>
  </si>
  <si>
    <t>４６０３</t>
  </si>
  <si>
    <t>東雁来町55番地</t>
  </si>
  <si>
    <t>４６０４</t>
  </si>
  <si>
    <t>東雁来町 165番地</t>
  </si>
  <si>
    <t>橋本宅</t>
  </si>
  <si>
    <t>４６０５</t>
  </si>
  <si>
    <t>７４－０６</t>
  </si>
  <si>
    <t>丘珠町 275番地</t>
  </si>
  <si>
    <t>７８－０８</t>
  </si>
  <si>
    <t>７９－０７</t>
  </si>
  <si>
    <t>丘珠町 663番地</t>
  </si>
  <si>
    <t>H5A</t>
  </si>
  <si>
    <t>７７－０４</t>
  </si>
  <si>
    <t>丘珠町 658番地</t>
  </si>
  <si>
    <t>７７－０５</t>
  </si>
  <si>
    <t>中沼町45番地</t>
  </si>
  <si>
    <t>中沼化学処理場</t>
  </si>
  <si>
    <t>７８－０４</t>
  </si>
  <si>
    <t>７８－０６</t>
  </si>
  <si>
    <t>中沼町92番地</t>
  </si>
  <si>
    <t>７８－０７</t>
  </si>
  <si>
    <t>中沼町22番地１</t>
  </si>
  <si>
    <t>福田宅</t>
  </si>
  <si>
    <t>７３－１２</t>
  </si>
  <si>
    <t>８５６０</t>
  </si>
  <si>
    <t>７４－２４</t>
  </si>
  <si>
    <t>７４－２３</t>
  </si>
  <si>
    <t>８５５９</t>
  </si>
  <si>
    <t>８５５８</t>
  </si>
  <si>
    <t>本通１７丁目南２</t>
  </si>
  <si>
    <t>７４－２５</t>
  </si>
  <si>
    <t>７４－２６</t>
  </si>
  <si>
    <t>本通１４丁目南６</t>
  </si>
  <si>
    <t>７８－１１</t>
  </si>
  <si>
    <t>東米里2011番地</t>
  </si>
  <si>
    <t>山田宅</t>
  </si>
  <si>
    <t>S57A,S58,59A</t>
  </si>
  <si>
    <t>８４－０１</t>
  </si>
  <si>
    <t>東米里2124番地</t>
  </si>
  <si>
    <t>S59移設(旧74-10),S59欠測</t>
  </si>
  <si>
    <t>７４－０９</t>
  </si>
  <si>
    <t>米里2214番地</t>
  </si>
  <si>
    <t>宮口宅</t>
  </si>
  <si>
    <t>S57A,S58A</t>
  </si>
  <si>
    <t>８１－０１</t>
  </si>
  <si>
    <t>川下2165番地</t>
  </si>
  <si>
    <t>S56移設(旧78-12),S56欠測</t>
  </si>
  <si>
    <t>７８－１３</t>
  </si>
  <si>
    <t>川北2261番地</t>
  </si>
  <si>
    <t>７４－２１</t>
  </si>
  <si>
    <t>北郷2353番地</t>
  </si>
  <si>
    <t>７５－０６</t>
  </si>
  <si>
    <t>８３－０３</t>
  </si>
  <si>
    <t>S53移設(旧74-22),S58移設(旧78-15)</t>
  </si>
  <si>
    <t>７２８７</t>
  </si>
  <si>
    <t>平岸１条２２丁目</t>
  </si>
  <si>
    <t>H2再設，H2値付け</t>
  </si>
  <si>
    <t>７２８８</t>
  </si>
  <si>
    <t>７２８９</t>
  </si>
  <si>
    <t>S62国地院再設</t>
  </si>
  <si>
    <t>７４－１７</t>
  </si>
  <si>
    <t>火山</t>
  </si>
  <si>
    <t>７４－１８</t>
  </si>
  <si>
    <t>８４－０２</t>
  </si>
  <si>
    <t>S59移設(旧74-19)</t>
  </si>
  <si>
    <t>７９－０２</t>
  </si>
  <si>
    <t>７９－０３</t>
  </si>
  <si>
    <t>７９－０４</t>
  </si>
  <si>
    <t>８４－０３</t>
  </si>
  <si>
    <t>S59移設(旧79-05),H2値付け</t>
  </si>
  <si>
    <t>７５－０７</t>
  </si>
  <si>
    <t>７９－０１</t>
  </si>
  <si>
    <t>真駒内東町２丁目</t>
  </si>
  <si>
    <t>Ｈ３廃止</t>
  </si>
  <si>
    <t>７２８５</t>
  </si>
  <si>
    <t>７２８６</t>
  </si>
  <si>
    <t>７３－０１</t>
  </si>
  <si>
    <t>発寒７条１３丁目</t>
  </si>
  <si>
    <t>７３－２６</t>
  </si>
  <si>
    <t>発寒１３条１１丁目</t>
  </si>
  <si>
    <t>琴似工業高校</t>
  </si>
  <si>
    <t>７４０６</t>
  </si>
  <si>
    <t>宮の沢１条５丁目１</t>
  </si>
  <si>
    <t>森脇宅</t>
  </si>
  <si>
    <t>７４０７</t>
  </si>
  <si>
    <t>西町南１３丁目１</t>
  </si>
  <si>
    <t>ＳＦ３１６</t>
  </si>
  <si>
    <t>９４－０１</t>
  </si>
  <si>
    <t>H6移設(旧73-25)</t>
  </si>
  <si>
    <t>７３－２４</t>
  </si>
  <si>
    <t>７３－３０</t>
  </si>
  <si>
    <t>西区八軒会館</t>
  </si>
  <si>
    <t>７４０８</t>
  </si>
  <si>
    <t>７４－１６</t>
  </si>
  <si>
    <t>８５５７</t>
  </si>
  <si>
    <t>４５９８</t>
  </si>
  <si>
    <t>７４－１５</t>
  </si>
  <si>
    <t>下野津幌浄水場</t>
  </si>
  <si>
    <t>７９－０６</t>
  </si>
  <si>
    <t>７８－１４</t>
  </si>
  <si>
    <t>８５５５</t>
  </si>
  <si>
    <t>８５５６</t>
  </si>
  <si>
    <t>７４－１４</t>
  </si>
  <si>
    <t>７４－１３</t>
  </si>
  <si>
    <t>S58A,S59A</t>
  </si>
  <si>
    <t>８３－０５</t>
  </si>
  <si>
    <t>厚別町山本７１１</t>
  </si>
  <si>
    <t>S58移設(旧74-12),S58欠測</t>
  </si>
  <si>
    <t>７４－１１</t>
  </si>
  <si>
    <t>厚別町山本2487</t>
  </si>
  <si>
    <t>持田宅</t>
  </si>
  <si>
    <t>７８－０１</t>
  </si>
  <si>
    <t>７８－０２</t>
  </si>
  <si>
    <t>手稲山口 406番地</t>
  </si>
  <si>
    <t>名島宅</t>
  </si>
  <si>
    <t>地４</t>
  </si>
  <si>
    <t>７４０２</t>
  </si>
  <si>
    <t>手稲星置南２丁目</t>
  </si>
  <si>
    <t>S61国地院再設データ生き</t>
  </si>
  <si>
    <t>７４０３</t>
  </si>
  <si>
    <t>S61国地院再設データ死に,H2値付け</t>
  </si>
  <si>
    <t>７４０４</t>
  </si>
  <si>
    <t>ＳＦ３１５</t>
  </si>
  <si>
    <t>７５－０１</t>
  </si>
  <si>
    <t>手稲前田 419番地</t>
  </si>
  <si>
    <t>４６１１</t>
  </si>
  <si>
    <t>７４０５</t>
  </si>
  <si>
    <t>地１</t>
  </si>
  <si>
    <t>S57A,H5A</t>
  </si>
  <si>
    <t>水　準　測　量　成　果　表</t>
  </si>
  <si>
    <t>33地点</t>
    <rPh sb="2" eb="4">
      <t>チテン</t>
    </rPh>
    <phoneticPr fontId="1"/>
  </si>
  <si>
    <t xml:space="preserve"> 累積年度</t>
    <phoneticPr fontId="1"/>
  </si>
  <si>
    <t>年平均</t>
    <rPh sb="0" eb="3">
      <t>ネンヘイキン</t>
    </rPh>
    <phoneticPr fontId="1"/>
  </si>
  <si>
    <t>累積年数</t>
    <rPh sb="0" eb="2">
      <t>ルイセキ</t>
    </rPh>
    <rPh sb="2" eb="4">
      <t>ネンスウ</t>
    </rPh>
    <phoneticPr fontId="1"/>
  </si>
  <si>
    <t>S60</t>
    <phoneticPr fontId="1"/>
  </si>
  <si>
    <t>H4</t>
    <phoneticPr fontId="1"/>
  </si>
  <si>
    <t>H5</t>
    <phoneticPr fontId="1"/>
  </si>
  <si>
    <t>H8</t>
    <phoneticPr fontId="1"/>
  </si>
  <si>
    <t>H4-H8</t>
    <phoneticPr fontId="1"/>
  </si>
  <si>
    <t>～</t>
  </si>
  <si>
    <t>●</t>
    <phoneticPr fontId="1"/>
  </si>
  <si>
    <t>９年累積</t>
  </si>
  <si>
    <t>●</t>
    <phoneticPr fontId="1"/>
  </si>
  <si>
    <t>●</t>
    <phoneticPr fontId="1"/>
  </si>
  <si>
    <t>９５－０２</t>
  </si>
  <si>
    <t>●</t>
    <phoneticPr fontId="1"/>
  </si>
  <si>
    <t>H8周辺地区工事</t>
  </si>
  <si>
    <t>屯田町 740番地</t>
    <phoneticPr fontId="1"/>
  </si>
  <si>
    <t>篠路町拓北 ３番地</t>
    <phoneticPr fontId="1"/>
  </si>
  <si>
    <t>篠路町拓北 30番地</t>
    <phoneticPr fontId="1"/>
  </si>
  <si>
    <t>北14条東１丁目</t>
    <phoneticPr fontId="1"/>
  </si>
  <si>
    <t>礫</t>
    <phoneticPr fontId="1"/>
  </si>
  <si>
    <t>北24条東２丁目</t>
    <phoneticPr fontId="1"/>
  </si>
  <si>
    <t>北25条東４丁目</t>
    <phoneticPr fontId="1"/>
  </si>
  <si>
    <t>北33条東２丁目</t>
    <phoneticPr fontId="1"/>
  </si>
  <si>
    <t>北39条東４丁目</t>
    <phoneticPr fontId="1"/>
  </si>
  <si>
    <t>北46条東６丁目</t>
    <phoneticPr fontId="1"/>
  </si>
  <si>
    <t>苗穂町16丁目</t>
    <phoneticPr fontId="1"/>
  </si>
  <si>
    <t>東雁来町 55番地</t>
    <phoneticPr fontId="1"/>
  </si>
  <si>
    <t>H5A,H8A</t>
  </si>
  <si>
    <t>中沼町 45番地</t>
    <phoneticPr fontId="1"/>
  </si>
  <si>
    <t>中沼町 92番地</t>
    <phoneticPr fontId="1"/>
  </si>
  <si>
    <t>中沼町 22番地１</t>
    <phoneticPr fontId="1"/>
  </si>
  <si>
    <t>台地・丘陵</t>
    <rPh sb="0" eb="2">
      <t>ダイチ</t>
    </rPh>
    <rPh sb="3" eb="5">
      <t>キュウリョウ</t>
    </rPh>
    <phoneticPr fontId="1"/>
  </si>
  <si>
    <t>本通17丁目南２</t>
    <phoneticPr fontId="1"/>
  </si>
  <si>
    <t>本通14丁目南６</t>
    <phoneticPr fontId="1"/>
  </si>
  <si>
    <t>東米里 2011番地</t>
    <phoneticPr fontId="1"/>
  </si>
  <si>
    <t>S57A,S58,59A　亡失</t>
  </si>
  <si>
    <t>東米里 2124番地</t>
    <phoneticPr fontId="1"/>
  </si>
  <si>
    <t>米里 2214番地</t>
    <phoneticPr fontId="1"/>
  </si>
  <si>
    <t>S57A,S58A 亡失</t>
  </si>
  <si>
    <t>H5</t>
    <phoneticPr fontId="1"/>
  </si>
  <si>
    <t>北郷 2353番地</t>
    <phoneticPr fontId="1"/>
  </si>
  <si>
    <t>平岸１条22丁目</t>
    <phoneticPr fontId="1"/>
  </si>
  <si>
    <t>再設・６年累積</t>
    <rPh sb="4" eb="5">
      <t>ネン</t>
    </rPh>
    <rPh sb="5" eb="7">
      <t>ルイセキ</t>
    </rPh>
    <phoneticPr fontId="1"/>
  </si>
  <si>
    <t>Ｈ３廃止(仮点設置)</t>
  </si>
  <si>
    <t>発寒７条13丁目</t>
    <phoneticPr fontId="1"/>
  </si>
  <si>
    <t>発寒13条11丁目</t>
    <phoneticPr fontId="1"/>
  </si>
  <si>
    <t>西町南13丁目１</t>
    <phoneticPr fontId="1"/>
  </si>
  <si>
    <t>３年累積</t>
    <rPh sb="1" eb="2">
      <t>ネン</t>
    </rPh>
    <rPh sb="2" eb="4">
      <t>ルイセキ</t>
    </rPh>
    <phoneticPr fontId="1"/>
  </si>
  <si>
    <t>厚別町山本 711番地</t>
    <rPh sb="9" eb="11">
      <t>バンチ</t>
    </rPh>
    <phoneticPr fontId="1"/>
  </si>
  <si>
    <t>厚別町山本 2487番地</t>
    <rPh sb="10" eb="12">
      <t>バンチ</t>
    </rPh>
    <phoneticPr fontId="1"/>
  </si>
  <si>
    <t>星置南２丁目</t>
    <phoneticPr fontId="1"/>
  </si>
  <si>
    <t>前田７条15丁目</t>
    <rPh sb="3" eb="4">
      <t>ジョウ</t>
    </rPh>
    <rPh sb="6" eb="8">
      <t>チョウメ</t>
    </rPh>
    <phoneticPr fontId="1"/>
  </si>
  <si>
    <t>H8A</t>
  </si>
  <si>
    <t>水　　　準　　　測　　　量　　　成　　　果　　　表</t>
    <rPh sb="0" eb="5">
      <t>スイジュン</t>
    </rPh>
    <rPh sb="8" eb="13">
      <t>ソクリョウ</t>
    </rPh>
    <rPh sb="16" eb="21">
      <t>セイカ</t>
    </rPh>
    <rPh sb="24" eb="25">
      <t>ヒョウ</t>
    </rPh>
    <phoneticPr fontId="1"/>
  </si>
  <si>
    <t xml:space="preserve"> 累積年度</t>
    <phoneticPr fontId="1"/>
  </si>
  <si>
    <t>屯田町 740番地</t>
    <phoneticPr fontId="1"/>
  </si>
  <si>
    <t>屯田町 954番地</t>
    <phoneticPr fontId="1"/>
  </si>
  <si>
    <t>篠路町拓北 ３番地</t>
    <phoneticPr fontId="1"/>
  </si>
  <si>
    <t>東雁来町 55番地</t>
    <phoneticPr fontId="1"/>
  </si>
  <si>
    <t>市街化</t>
    <rPh sb="0" eb="3">
      <t>シガイカ</t>
    </rPh>
    <phoneticPr fontId="1"/>
  </si>
  <si>
    <t>中沼町 22番地１</t>
    <phoneticPr fontId="1"/>
  </si>
  <si>
    <t>礫</t>
    <phoneticPr fontId="1"/>
  </si>
  <si>
    <t>本通17丁目南２</t>
    <phoneticPr fontId="1"/>
  </si>
  <si>
    <t>東米里 2011番地</t>
    <phoneticPr fontId="1"/>
  </si>
  <si>
    <t>米里 2214番地</t>
    <phoneticPr fontId="1"/>
  </si>
  <si>
    <t>北郷 2353番地</t>
    <phoneticPr fontId="1"/>
  </si>
  <si>
    <t>平岸１条22丁目</t>
    <phoneticPr fontId="1"/>
  </si>
  <si>
    <t>西町南13丁目１</t>
    <phoneticPr fontId="1"/>
  </si>
  <si>
    <t>礫</t>
    <phoneticPr fontId="1"/>
  </si>
  <si>
    <t>●</t>
    <phoneticPr fontId="1"/>
  </si>
  <si>
    <t>星置南２丁目</t>
    <phoneticPr fontId="1"/>
  </si>
  <si>
    <t>礫</t>
    <phoneticPr fontId="1"/>
  </si>
  <si>
    <t>礫</t>
    <phoneticPr fontId="1"/>
  </si>
  <si>
    <t>S55</t>
    <phoneticPr fontId="1"/>
  </si>
  <si>
    <t>～</t>
    <phoneticPr fontId="1"/>
  </si>
  <si>
    <t>H8</t>
    <phoneticPr fontId="1"/>
  </si>
  <si>
    <t>3年累積</t>
    <rPh sb="1" eb="2">
      <t>ネン</t>
    </rPh>
    <phoneticPr fontId="1"/>
  </si>
  <si>
    <t>2年累積</t>
    <rPh sb="1" eb="2">
      <t>ネン</t>
    </rPh>
    <phoneticPr fontId="1"/>
  </si>
  <si>
    <t>5年累積</t>
    <rPh sb="1" eb="2">
      <t>ネン</t>
    </rPh>
    <phoneticPr fontId="1"/>
  </si>
  <si>
    <t>4年累積</t>
    <rPh sb="1" eb="2">
      <t>ネン</t>
    </rPh>
    <phoneticPr fontId="1"/>
  </si>
  <si>
    <t>6年累積</t>
    <rPh sb="1" eb="2">
      <t>ネン</t>
    </rPh>
    <phoneticPr fontId="1"/>
  </si>
  <si>
    <t>2年累積</t>
    <phoneticPr fontId="1"/>
  </si>
  <si>
    <t>11年累積</t>
    <rPh sb="2" eb="3">
      <t>ネン</t>
    </rPh>
    <phoneticPr fontId="1"/>
  </si>
  <si>
    <t>[m]</t>
    <phoneticPr fontId="1"/>
  </si>
  <si>
    <t>過去標高</t>
    <rPh sb="0" eb="2">
      <t>カコ</t>
    </rPh>
    <rPh sb="2" eb="4">
      <t>ヒョウコウ</t>
    </rPh>
    <phoneticPr fontId="1"/>
  </si>
  <si>
    <t>最新標高</t>
    <rPh sb="0" eb="2">
      <t>サイシン</t>
    </rPh>
    <rPh sb="2" eb="4">
      <t>ヒョウコウ</t>
    </rPh>
    <phoneticPr fontId="1"/>
  </si>
  <si>
    <t>区</t>
    <phoneticPr fontId="1"/>
  </si>
  <si>
    <t>住所</t>
  </si>
  <si>
    <t>住所</t>
    <phoneticPr fontId="1"/>
  </si>
  <si>
    <t>（詳細）</t>
    <rPh sb="1" eb="3">
      <t>ショウサイ</t>
    </rPh>
    <phoneticPr fontId="1"/>
  </si>
  <si>
    <t>水準点</t>
    <phoneticPr fontId="1"/>
  </si>
  <si>
    <t>番号</t>
    <phoneticPr fontId="1"/>
  </si>
  <si>
    <t>[m]</t>
    <phoneticPr fontId="1"/>
  </si>
  <si>
    <t>[mm]</t>
    <phoneticPr fontId="1"/>
  </si>
  <si>
    <t>沈下量</t>
    <rPh sb="0" eb="2">
      <t>チンカ</t>
    </rPh>
    <rPh sb="2" eb="3">
      <t>リョウ</t>
    </rPh>
    <phoneticPr fontId="1"/>
  </si>
  <si>
    <t>礫</t>
    <phoneticPr fontId="1"/>
  </si>
  <si>
    <t>真駒内南町1丁目1</t>
  </si>
  <si>
    <t>西町南13丁目1</t>
  </si>
  <si>
    <t>平岸2条14丁目1</t>
  </si>
  <si>
    <t>本通17丁目南2</t>
  </si>
  <si>
    <t>大谷地西2丁目3</t>
  </si>
  <si>
    <t>北野3条2丁目10</t>
  </si>
  <si>
    <t>真駒内公園4番地</t>
  </si>
  <si>
    <t>本通1丁目北4</t>
  </si>
  <si>
    <t>厚別東2条4丁目5</t>
  </si>
  <si>
    <t>本通5丁目南4</t>
  </si>
  <si>
    <t>厚別南6丁目1</t>
  </si>
  <si>
    <t>本通14丁目南6</t>
  </si>
  <si>
    <t>もみじ台西6丁目2</t>
  </si>
  <si>
    <t>青葉町7丁目12番地</t>
    <rPh sb="8" eb="10">
      <t>バンチ</t>
    </rPh>
    <phoneticPr fontId="1"/>
  </si>
  <si>
    <t>屯田7条6丁目2</t>
  </si>
  <si>
    <t>青葉町7丁目11</t>
  </si>
  <si>
    <t>前田7条15丁目</t>
  </si>
  <si>
    <t>厚別西4条3丁目8</t>
  </si>
  <si>
    <t>平和通9丁目南1</t>
  </si>
  <si>
    <t>厚別町山本1065番地</t>
    <rPh sb="9" eb="11">
      <t>バンチ</t>
    </rPh>
    <phoneticPr fontId="1"/>
  </si>
  <si>
    <t>丘珠町277番地</t>
    <phoneticPr fontId="1"/>
  </si>
  <si>
    <t>設置場所</t>
  </si>
  <si>
    <t>（閲覧用）</t>
    <rPh sb="1" eb="3">
      <t>エツラン</t>
    </rPh>
    <rPh sb="3" eb="4">
      <t>ヨウ</t>
    </rPh>
    <phoneticPr fontId="1"/>
  </si>
  <si>
    <t>東雁来町255番地</t>
  </si>
  <si>
    <t>篠路町上篠路109番地</t>
    <rPh sb="9" eb="11">
      <t>バンチ</t>
    </rPh>
    <phoneticPr fontId="1"/>
  </si>
  <si>
    <t>篠路町上篠路21番地</t>
    <rPh sb="8" eb="10">
      <t>バンチ</t>
    </rPh>
    <phoneticPr fontId="1"/>
  </si>
  <si>
    <t>篠路町篠路435番地</t>
    <rPh sb="8" eb="10">
      <t>バンチ</t>
    </rPh>
    <phoneticPr fontId="1"/>
  </si>
  <si>
    <t>篠路町福移156番地</t>
    <rPh sb="8" eb="10">
      <t>バンチ</t>
    </rPh>
    <phoneticPr fontId="1"/>
  </si>
  <si>
    <t>東雁来町387番地</t>
  </si>
  <si>
    <t>手稲山口653番地</t>
  </si>
  <si>
    <t>中沼町240番地</t>
  </si>
  <si>
    <t>丘珠町185番地</t>
  </si>
  <si>
    <t>厚別町山本711番地</t>
  </si>
  <si>
    <t>東雁来町356番地</t>
  </si>
  <si>
    <t>厚別</t>
    <phoneticPr fontId="1"/>
  </si>
  <si>
    <t>厚別西4条3丁目10-30</t>
    <rPh sb="0" eb="2">
      <t>アツベツ</t>
    </rPh>
    <phoneticPr fontId="1"/>
  </si>
  <si>
    <t>厚別通小学校</t>
    <rPh sb="0" eb="2">
      <t>アツベツ</t>
    </rPh>
    <rPh sb="2" eb="3">
      <t>トオ</t>
    </rPh>
    <rPh sb="3" eb="6">
      <t>ショウガッコウ</t>
    </rPh>
    <phoneticPr fontId="1"/>
  </si>
  <si>
    <t>市</t>
    <rPh sb="0" eb="1">
      <t>シ</t>
    </rPh>
    <phoneticPr fontId="1"/>
  </si>
  <si>
    <t>H14</t>
    <phoneticPr fontId="1"/>
  </si>
  <si>
    <t>市街</t>
    <phoneticPr fontId="1"/>
  </si>
  <si>
    <t>-</t>
    <phoneticPr fontId="1"/>
  </si>
  <si>
    <t>-</t>
    <phoneticPr fontId="1"/>
  </si>
  <si>
    <t>厚別西4条3丁目</t>
    <rPh sb="0" eb="2">
      <t>アツベツ</t>
    </rPh>
    <phoneticPr fontId="1"/>
  </si>
  <si>
    <t>設置</t>
    <rPh sb="0" eb="2">
      <t>セッチ</t>
    </rPh>
    <phoneticPr fontId="1"/>
  </si>
  <si>
    <t>旧74-09</t>
    <rPh sb="0" eb="1">
      <t>キュウ</t>
    </rPh>
    <phoneticPr fontId="1"/>
  </si>
  <si>
    <t>旧83-03</t>
    <rPh sb="0" eb="1">
      <t>キュウ</t>
    </rPh>
    <phoneticPr fontId="1"/>
  </si>
  <si>
    <t>移設</t>
    <phoneticPr fontId="1"/>
  </si>
  <si>
    <t>H13移設・値付</t>
    <rPh sb="3" eb="5">
      <t>イセツ</t>
    </rPh>
    <rPh sb="6" eb="7">
      <t>アタイ</t>
    </rPh>
    <rPh sb="7" eb="8">
      <t>ツ</t>
    </rPh>
    <phoneticPr fontId="1"/>
  </si>
  <si>
    <t>73-14</t>
  </si>
  <si>
    <t>77-02</t>
  </si>
  <si>
    <t>78-03</t>
  </si>
  <si>
    <t>扇状地部</t>
  </si>
  <si>
    <t>14.中)北2条西25丁目</t>
    <phoneticPr fontId="1"/>
  </si>
  <si>
    <t>15.西)山の手2条1丁目</t>
    <phoneticPr fontId="1"/>
  </si>
  <si>
    <t>低地東部</t>
  </si>
  <si>
    <t>７.東)東苗穂7条2丁目</t>
    <phoneticPr fontId="1"/>
  </si>
  <si>
    <t>低地西部</t>
  </si>
  <si>
    <t>４.北)北18条西9丁目</t>
    <phoneticPr fontId="1"/>
  </si>
  <si>
    <t>台地･丘陵部</t>
  </si>
  <si>
    <t>18.豊)西岡2条9丁目</t>
    <rPh sb="5" eb="7">
      <t>ニシオカ</t>
    </rPh>
    <rPh sb="8" eb="9">
      <t>ジョウ</t>
    </rPh>
    <rPh sb="10" eb="12">
      <t>チョウメ</t>
    </rPh>
    <phoneticPr fontId="1"/>
  </si>
  <si>
    <t>　　</t>
    <phoneticPr fontId="1"/>
  </si>
  <si>
    <t>11.中)北4条東3丁目</t>
    <phoneticPr fontId="1"/>
  </si>
  <si>
    <t>12.中)南1条西14丁目</t>
    <phoneticPr fontId="1"/>
  </si>
  <si>
    <t>13.中)南8条西2丁目</t>
    <phoneticPr fontId="1"/>
  </si>
  <si>
    <t>９.白)北郷3条11丁目</t>
    <phoneticPr fontId="1"/>
  </si>
  <si>
    <t>10.白)川北2261番地</t>
    <phoneticPr fontId="1"/>
  </si>
  <si>
    <t>１.東)北42条東10丁目</t>
    <phoneticPr fontId="1"/>
  </si>
  <si>
    <t>２.東)北33条東2丁目</t>
    <phoneticPr fontId="1"/>
  </si>
  <si>
    <t>３.手)新発寒5条4丁目</t>
    <phoneticPr fontId="1"/>
  </si>
  <si>
    <t>16.白)本通1丁目</t>
    <phoneticPr fontId="1"/>
  </si>
  <si>
    <t>17.白)本通14丁目</t>
    <phoneticPr fontId="1"/>
  </si>
  <si>
    <t>19.厚)厚別南6丁目</t>
    <phoneticPr fontId="1"/>
  </si>
  <si>
    <t>20.厚)厚別中央4条3丁目</t>
    <phoneticPr fontId="1"/>
  </si>
  <si>
    <t>【グラフ用】累積沈下量</t>
    <rPh sb="4" eb="5">
      <t>ヨウ</t>
    </rPh>
    <phoneticPr fontId="1"/>
  </si>
  <si>
    <t>住所</t>
    <rPh sb="0" eb="2">
      <t>ジュウショ</t>
    </rPh>
    <phoneticPr fontId="1"/>
  </si>
  <si>
    <t>S49</t>
    <phoneticPr fontId="1"/>
  </si>
  <si>
    <t>８.北)篠路町福移156番地</t>
    <rPh sb="4" eb="7">
      <t>シノロチョウ</t>
    </rPh>
    <rPh sb="7" eb="9">
      <t>フクイ</t>
    </rPh>
    <rPh sb="12" eb="14">
      <t>バンチ</t>
    </rPh>
    <phoneticPr fontId="1"/>
  </si>
  <si>
    <t>点番号</t>
    <phoneticPr fontId="1"/>
  </si>
  <si>
    <t>【元データ】年間沈下量</t>
    <rPh sb="1" eb="2">
      <t>モト</t>
    </rPh>
    <rPh sb="6" eb="8">
      <t>ネンカン</t>
    </rPh>
    <phoneticPr fontId="1"/>
  </si>
  <si>
    <t>S48</t>
    <phoneticPr fontId="1"/>
  </si>
  <si>
    <t>H1</t>
    <phoneticPr fontId="1"/>
  </si>
  <si>
    <t>95-02</t>
    <phoneticPr fontId="1"/>
  </si>
  <si>
    <t>73-02</t>
    <phoneticPr fontId="1"/>
  </si>
  <si>
    <t>75-02</t>
    <phoneticPr fontId="1"/>
  </si>
  <si>
    <t>97-02</t>
    <phoneticPr fontId="1"/>
  </si>
  <si>
    <t>74-02</t>
    <phoneticPr fontId="1"/>
  </si>
  <si>
    <t>85-02</t>
    <phoneticPr fontId="1"/>
  </si>
  <si>
    <t>77-02</t>
    <phoneticPr fontId="1"/>
  </si>
  <si>
    <t>83-02</t>
    <phoneticPr fontId="1"/>
  </si>
  <si>
    <t>73-12</t>
    <phoneticPr fontId="1"/>
  </si>
  <si>
    <t>12-01</t>
    <phoneticPr fontId="1"/>
  </si>
  <si>
    <t>84-02</t>
    <phoneticPr fontId="1"/>
  </si>
  <si>
    <t>79-02</t>
    <phoneticPr fontId="1"/>
  </si>
  <si>
    <t>04-02</t>
    <phoneticPr fontId="1"/>
  </si>
  <si>
    <t>05-02</t>
    <phoneticPr fontId="1"/>
  </si>
  <si>
    <t>78-02</t>
    <phoneticPr fontId="1"/>
  </si>
  <si>
    <t>73-11</t>
    <phoneticPr fontId="1"/>
  </si>
  <si>
    <t>※マイナスが浮上を表す。</t>
    <rPh sb="6" eb="8">
      <t>フジョウ</t>
    </rPh>
    <rPh sb="9" eb="10">
      <t>アラワ</t>
    </rPh>
    <phoneticPr fontId="1"/>
  </si>
  <si>
    <t>5年累積</t>
    <rPh sb="1" eb="2">
      <t>ネン</t>
    </rPh>
    <rPh sb="2" eb="4">
      <t>ルイセキ</t>
    </rPh>
    <phoneticPr fontId="1"/>
  </si>
  <si>
    <t>3023</t>
    <phoneticPr fontId="1"/>
  </si>
  <si>
    <t>-</t>
    <phoneticPr fontId="1"/>
  </si>
  <si>
    <t>-</t>
    <phoneticPr fontId="1"/>
  </si>
  <si>
    <t>7402</t>
    <phoneticPr fontId="1"/>
  </si>
  <si>
    <t>7285</t>
    <phoneticPr fontId="1"/>
  </si>
  <si>
    <t>7286</t>
    <phoneticPr fontId="1"/>
  </si>
  <si>
    <t>7288</t>
    <phoneticPr fontId="1"/>
  </si>
  <si>
    <t>7289</t>
    <phoneticPr fontId="1"/>
  </si>
  <si>
    <t>7287</t>
    <phoneticPr fontId="1"/>
  </si>
  <si>
    <t>78-05</t>
    <phoneticPr fontId="1"/>
  </si>
  <si>
    <t>73-27</t>
    <phoneticPr fontId="1"/>
  </si>
  <si>
    <t>新琴似5条11丁目</t>
    <phoneticPr fontId="1"/>
  </si>
  <si>
    <t>５.北)新琴似5条11丁目</t>
    <phoneticPr fontId="1"/>
  </si>
  <si>
    <t>83-05</t>
    <phoneticPr fontId="1"/>
  </si>
  <si>
    <t>厚別水再生プラザ</t>
    <rPh sb="2" eb="3">
      <t>ミズ</t>
    </rPh>
    <rPh sb="3" eb="5">
      <t>サイセイ</t>
    </rPh>
    <phoneticPr fontId="1"/>
  </si>
  <si>
    <t>豊水会館</t>
    <rPh sb="2" eb="4">
      <t>カイカン</t>
    </rPh>
    <phoneticPr fontId="1"/>
  </si>
  <si>
    <t>６.厚)厚別町山本645番地</t>
    <phoneticPr fontId="1"/>
  </si>
  <si>
    <t>沈下
地点数</t>
    <phoneticPr fontId="1"/>
  </si>
  <si>
    <t>1.0cm
未満</t>
    <phoneticPr fontId="1"/>
  </si>
  <si>
    <t>3.0cm
以上</t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</si>
  <si>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</si>
  <si>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</si>
  <si>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</si>
  <si>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</si>
  <si>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</si>
  <si>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</si>
  <si>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0.63 ㎝</t>
    <phoneticPr fontId="1"/>
  </si>
  <si>
    <t>0.77 cm</t>
    <phoneticPr fontId="1"/>
  </si>
  <si>
    <t>0.42 cm</t>
    <phoneticPr fontId="1"/>
  </si>
  <si>
    <t>0.21 cm</t>
    <phoneticPr fontId="1"/>
  </si>
  <si>
    <t>0.46 cm</t>
    <phoneticPr fontId="1"/>
  </si>
  <si>
    <t>48
[84.6 km]</t>
    <phoneticPr fontId="1"/>
  </si>
  <si>
    <t>39
[81.3 km]</t>
    <phoneticPr fontId="1"/>
  </si>
  <si>
    <t>52
[92.1 km]</t>
    <phoneticPr fontId="1"/>
  </si>
  <si>
    <t>40
[84.9 km]</t>
    <phoneticPr fontId="1"/>
  </si>
  <si>
    <t>47
[82.8 km]</t>
    <phoneticPr fontId="1"/>
  </si>
  <si>
    <t>平成30年度</t>
    <rPh sb="0" eb="2">
      <t>ヘイセイ</t>
    </rPh>
    <rPh sb="4" eb="6">
      <t>ネンド</t>
    </rPh>
    <phoneticPr fontId="1"/>
  </si>
  <si>
    <t>49
[85.4 km]</t>
    <phoneticPr fontId="1"/>
  </si>
  <si>
    <t>1.32 cm</t>
    <phoneticPr fontId="1"/>
  </si>
  <si>
    <t>　　　　平成24年度：１年間（平成24年度）</t>
    <rPh sb="4" eb="6">
      <t>ヘイセイ</t>
    </rPh>
    <rPh sb="8" eb="10">
      <t>ネンド</t>
    </rPh>
    <rPh sb="12" eb="14">
      <t>ネンカン</t>
    </rPh>
    <rPh sb="15" eb="17">
      <t>ヘイセイ</t>
    </rPh>
    <rPh sb="19" eb="21">
      <t>ネンド</t>
    </rPh>
    <phoneticPr fontId="1"/>
  </si>
  <si>
    <t>　　　　平成25年度：５年間（平成21～25年度）</t>
    <rPh sb="12" eb="14">
      <t>ネンカン</t>
    </rPh>
    <rPh sb="15" eb="17">
      <t>ヘイセイ</t>
    </rPh>
    <rPh sb="22" eb="24">
      <t>ネンド</t>
    </rPh>
    <phoneticPr fontId="1"/>
  </si>
  <si>
    <t>　　　　平成26年度：２年間（平成25～26年度）</t>
    <rPh sb="12" eb="14">
      <t>ネンカン</t>
    </rPh>
    <rPh sb="15" eb="17">
      <t>ヘイセイ</t>
    </rPh>
    <rPh sb="22" eb="24">
      <t>ネンド</t>
    </rPh>
    <phoneticPr fontId="1"/>
  </si>
  <si>
    <t>　　　　平成27年度：２年間（平成26～27年度）</t>
    <rPh sb="12" eb="14">
      <t>ネンカン</t>
    </rPh>
    <rPh sb="15" eb="17">
      <t>ヘイセイ</t>
    </rPh>
    <rPh sb="22" eb="24">
      <t>ネンド</t>
    </rPh>
    <phoneticPr fontId="1"/>
  </si>
  <si>
    <t>　　　　平成28年度：５年間（平成24～28年度）</t>
    <rPh sb="12" eb="14">
      <t>ネンカン</t>
    </rPh>
    <rPh sb="15" eb="17">
      <t>ヘイセイ</t>
    </rPh>
    <rPh sb="22" eb="24">
      <t>ネンド</t>
    </rPh>
    <phoneticPr fontId="1"/>
  </si>
  <si>
    <t>　　　　平成29年度：４年間（平成26～29年度）</t>
    <rPh sb="12" eb="14">
      <t>ネンカン</t>
    </rPh>
    <rPh sb="15" eb="17">
      <t>ヘイセイ</t>
    </rPh>
    <rPh sb="22" eb="24">
      <t>ネンド</t>
    </rPh>
    <phoneticPr fontId="1"/>
  </si>
  <si>
    <t>0.58 cm</t>
    <phoneticPr fontId="1"/>
  </si>
  <si>
    <t>　　　　平成30年度：５年間（平成26～30年度）</t>
    <rPh sb="12" eb="14">
      <t>ネンカン</t>
    </rPh>
    <rPh sb="15" eb="17">
      <t>ヘイセイ</t>
    </rPh>
    <rPh sb="22" eb="24">
      <t>ネンド</t>
    </rPh>
    <phoneticPr fontId="1"/>
  </si>
  <si>
    <t>内　訳</t>
    <phoneticPr fontId="1"/>
  </si>
  <si>
    <t>年最大
沈下量</t>
    <phoneticPr fontId="1"/>
  </si>
  <si>
    <t>観測地点数
[路線距離]</t>
    <rPh sb="2" eb="4">
      <t>チテン</t>
    </rPh>
    <rPh sb="7" eb="9">
      <t>ロセン</t>
    </rPh>
    <rPh sb="9" eb="11">
      <t>キョリ</t>
    </rPh>
    <phoneticPr fontId="1"/>
  </si>
  <si>
    <t>水準点番号
住所</t>
    <rPh sb="0" eb="5">
      <t>スイジュンテンバンゴウ</t>
    </rPh>
    <rPh sb="6" eb="8">
      <t>ジュウショ</t>
    </rPh>
    <phoneticPr fontId="1"/>
  </si>
  <si>
    <t>81-01
白）川下番地</t>
    <rPh sb="6" eb="7">
      <t>シロ</t>
    </rPh>
    <rPh sb="8" eb="10">
      <t>カワシタ</t>
    </rPh>
    <rPh sb="10" eb="12">
      <t>バンチ</t>
    </rPh>
    <phoneticPr fontId="1"/>
  </si>
  <si>
    <t>81-01
白）川下番地</t>
    <rPh sb="6" eb="7">
      <t>シロ</t>
    </rPh>
    <rPh sb="8" eb="10">
      <t>カワシモ</t>
    </rPh>
    <rPh sb="10" eb="12">
      <t>バンチ</t>
    </rPh>
    <phoneticPr fontId="1"/>
  </si>
  <si>
    <t>79-07
東）北丘珠４条１丁目</t>
    <rPh sb="6" eb="7">
      <t>ヒガシ</t>
    </rPh>
    <rPh sb="8" eb="9">
      <t>キタ</t>
    </rPh>
    <rPh sb="9" eb="11">
      <t>オカダマ</t>
    </rPh>
    <rPh sb="12" eb="13">
      <t>ジョウ</t>
    </rPh>
    <rPh sb="14" eb="16">
      <t>チョウメ</t>
    </rPh>
    <phoneticPr fontId="1"/>
  </si>
  <si>
    <t>地１
手）新発寒５条４丁目</t>
    <rPh sb="0" eb="1">
      <t>チ</t>
    </rPh>
    <rPh sb="3" eb="4">
      <t>テ</t>
    </rPh>
    <rPh sb="5" eb="6">
      <t>シン</t>
    </rPh>
    <rPh sb="6" eb="8">
      <t>ハッサム</t>
    </rPh>
    <rPh sb="9" eb="10">
      <t>ジョウ</t>
    </rPh>
    <rPh sb="11" eb="13">
      <t>チョウメ</t>
    </rPh>
    <phoneticPr fontId="1"/>
  </si>
  <si>
    <t>78-13
白）川北番地</t>
    <rPh sb="6" eb="7">
      <t>シロ</t>
    </rPh>
    <rPh sb="8" eb="9">
      <t>カワ</t>
    </rPh>
    <rPh sb="9" eb="10">
      <t>キタ</t>
    </rPh>
    <rPh sb="10" eb="12">
      <t>バンチ</t>
    </rPh>
    <phoneticPr fontId="1"/>
  </si>
  <si>
    <t>77-02
北）篠路町福移</t>
    <rPh sb="6" eb="7">
      <t>キタ</t>
    </rPh>
    <rPh sb="8" eb="10">
      <t>シノロ</t>
    </rPh>
    <rPh sb="10" eb="11">
      <t>マチ</t>
    </rPh>
    <rPh sb="11" eb="13">
      <t>フクイ</t>
    </rPh>
    <phoneticPr fontId="1"/>
  </si>
  <si>
    <t>8416
北）太平５条１丁目</t>
    <rPh sb="5" eb="6">
      <t>キタ</t>
    </rPh>
    <rPh sb="7" eb="9">
      <t>タイヘイ</t>
    </rPh>
    <rPh sb="10" eb="11">
      <t>ジョウ</t>
    </rPh>
    <rPh sb="12" eb="14">
      <t>チョウメ</t>
    </rPh>
    <phoneticPr fontId="1"/>
  </si>
  <si>
    <t>図１　低地西部</t>
    <rPh sb="0" eb="1">
      <t>ズ</t>
    </rPh>
    <rPh sb="3" eb="5">
      <t>テイチ</t>
    </rPh>
    <rPh sb="5" eb="7">
      <t>セイブ</t>
    </rPh>
    <phoneticPr fontId="1"/>
  </si>
  <si>
    <t>　　　図２　低地東部</t>
    <rPh sb="3" eb="4">
      <t>ズ</t>
    </rPh>
    <rPh sb="6" eb="8">
      <t>テイチ</t>
    </rPh>
    <rPh sb="8" eb="9">
      <t>ヒガシ</t>
    </rPh>
    <rPh sb="9" eb="10">
      <t>ブ</t>
    </rPh>
    <phoneticPr fontId="1"/>
  </si>
  <si>
    <t>図３　扇状地部</t>
    <rPh sb="0" eb="1">
      <t>ズ</t>
    </rPh>
    <rPh sb="3" eb="6">
      <t>センジョウチ</t>
    </rPh>
    <rPh sb="6" eb="7">
      <t>ブ</t>
    </rPh>
    <phoneticPr fontId="1"/>
  </si>
  <si>
    <t>　　図４　台地・丘陵部</t>
    <rPh sb="2" eb="3">
      <t>ズ</t>
    </rPh>
    <rPh sb="5" eb="7">
      <t>ダイチ</t>
    </rPh>
    <rPh sb="8" eb="10">
      <t>キュウリョウ</t>
    </rPh>
    <rPh sb="10" eb="11">
      <t>ブ</t>
    </rPh>
    <phoneticPr fontId="1"/>
  </si>
  <si>
    <t>【別紙３】地盤沈下に関する測量結果（代表20地点）</t>
    <rPh sb="1" eb="3">
      <t>ベッシ</t>
    </rPh>
    <rPh sb="5" eb="7">
      <t>ジバン</t>
    </rPh>
    <rPh sb="7" eb="9">
      <t>チンカ</t>
    </rPh>
    <rPh sb="10" eb="11">
      <t>カン</t>
    </rPh>
    <rPh sb="13" eb="15">
      <t>ソクリョウ</t>
    </rPh>
    <rPh sb="15" eb="17">
      <t>ケッカ</t>
    </rPh>
    <rPh sb="18" eb="20">
      <t>ダイヒョウ</t>
    </rPh>
    <rPh sb="22" eb="24">
      <t>チテン</t>
    </rPh>
    <phoneticPr fontId="1"/>
  </si>
  <si>
    <t>※ 各年度の数値は【沈下量[mm]】（マイナスは隆起を示す。）</t>
    <rPh sb="2" eb="5">
      <t>カクネンド</t>
    </rPh>
    <rPh sb="6" eb="8">
      <t>スウチ</t>
    </rPh>
    <rPh sb="10" eb="12">
      <t>チンカ</t>
    </rPh>
    <rPh sb="12" eb="13">
      <t>リョウ</t>
    </rPh>
    <rPh sb="24" eb="26">
      <t>リュウキ</t>
    </rPh>
    <rPh sb="27" eb="28">
      <t>シメ</t>
    </rPh>
    <phoneticPr fontId="1"/>
  </si>
  <si>
    <t>累計沈下量</t>
    <rPh sb="0" eb="2">
      <t>ルイケイ</t>
    </rPh>
    <rPh sb="2" eb="4">
      <t>チンカ</t>
    </rPh>
    <rPh sb="4" eb="5">
      <t>リョウ</t>
    </rPh>
    <phoneticPr fontId="1"/>
  </si>
  <si>
    <t>5年間</t>
    <rPh sb="1" eb="3">
      <t>ネンカン</t>
    </rPh>
    <phoneticPr fontId="1"/>
  </si>
  <si>
    <t>全期間</t>
    <rPh sb="0" eb="3">
      <t>ゼンキカン</t>
    </rPh>
    <phoneticPr fontId="1"/>
  </si>
  <si>
    <t>2</t>
    <phoneticPr fontId="1"/>
  </si>
  <si>
    <t>H1</t>
  </si>
  <si>
    <t>H30</t>
    <phoneticPr fontId="1"/>
  </si>
  <si>
    <t>値付</t>
    <rPh sb="0" eb="1">
      <t>アタイ</t>
    </rPh>
    <rPh sb="1" eb="2">
      <t>ツ</t>
    </rPh>
    <phoneticPr fontId="1"/>
  </si>
  <si>
    <t>合計</t>
    <rPh sb="0" eb="2">
      <t>ゴウケイ</t>
    </rPh>
    <phoneticPr fontId="1"/>
  </si>
  <si>
    <t>値付</t>
    <rPh sb="0" eb="1">
      <t>アタイ</t>
    </rPh>
    <rPh sb="1" eb="2">
      <t>ツ</t>
    </rPh>
    <phoneticPr fontId="1"/>
  </si>
  <si>
    <t>48
[85.1 km]</t>
    <phoneticPr fontId="1"/>
  </si>
  <si>
    <t>北白石小学校・中学校</t>
    <rPh sb="3" eb="6">
      <t>ショウガッコウ</t>
    </rPh>
    <rPh sb="7" eb="10">
      <t>チュウガッコウ</t>
    </rPh>
    <phoneticPr fontId="1"/>
  </si>
  <si>
    <t>氏</t>
    <rPh sb="0" eb="1">
      <t>シ</t>
    </rPh>
    <phoneticPr fontId="1"/>
  </si>
  <si>
    <t>H24</t>
    <phoneticPr fontId="1"/>
  </si>
  <si>
    <t>市街</t>
    <phoneticPr fontId="1"/>
  </si>
  <si>
    <t>泥炭</t>
    <phoneticPr fontId="1"/>
  </si>
  <si>
    <t>低地東</t>
    <rPh sb="0" eb="2">
      <t>テイチ</t>
    </rPh>
    <rPh sb="2" eb="3">
      <t>ヒガシ</t>
    </rPh>
    <phoneticPr fontId="1"/>
  </si>
  <si>
    <t>H24</t>
    <phoneticPr fontId="1"/>
  </si>
  <si>
    <t>市街</t>
    <phoneticPr fontId="1"/>
  </si>
  <si>
    <t>泥炭</t>
    <phoneticPr fontId="1"/>
  </si>
  <si>
    <t>欠測</t>
    <rPh sb="0" eb="2">
      <t>ケッソク</t>
    </rPh>
    <phoneticPr fontId="2"/>
  </si>
  <si>
    <t>亡失</t>
    <rPh sb="0" eb="2">
      <t>ボウシツ</t>
    </rPh>
    <phoneticPr fontId="2"/>
  </si>
  <si>
    <t>廃止</t>
    <rPh sb="0" eb="2">
      <t>ハイシ</t>
    </rPh>
    <phoneticPr fontId="2"/>
  </si>
  <si>
    <t>3年累積</t>
  </si>
  <si>
    <t>3年累積</t>
    <rPh sb="1" eb="2">
      <t>ネン</t>
    </rPh>
    <rPh sb="2" eb="4">
      <t>ルイセキ</t>
    </rPh>
    <phoneticPr fontId="2"/>
  </si>
  <si>
    <t>8年累積</t>
  </si>
  <si>
    <t>9年累積</t>
  </si>
  <si>
    <t>移設</t>
    <rPh sb="0" eb="2">
      <t>イセツ</t>
    </rPh>
    <phoneticPr fontId="1"/>
  </si>
  <si>
    <t>値付</t>
    <rPh sb="0" eb="1">
      <t>アタイ</t>
    </rPh>
    <rPh sb="1" eb="2">
      <t>ヅ</t>
    </rPh>
    <phoneticPr fontId="2"/>
  </si>
  <si>
    <t>移設/値付</t>
    <rPh sb="0" eb="2">
      <t>イセツ</t>
    </rPh>
    <rPh sb="3" eb="4">
      <t>アタイ</t>
    </rPh>
    <rPh sb="4" eb="5">
      <t>ヅ</t>
    </rPh>
    <phoneticPr fontId="2"/>
  </si>
  <si>
    <t>再設/値付</t>
    <rPh sb="3" eb="4">
      <t>アタイ</t>
    </rPh>
    <rPh sb="4" eb="5">
      <t>ツ</t>
    </rPh>
    <phoneticPr fontId="2"/>
  </si>
  <si>
    <t>礫</t>
    <phoneticPr fontId="1"/>
  </si>
  <si>
    <t>73-17</t>
    <phoneticPr fontId="1"/>
  </si>
  <si>
    <t>R1</t>
  </si>
  <si>
    <t>R1</t>
    <phoneticPr fontId="1"/>
  </si>
  <si>
    <t>H30沈下量</t>
    <rPh sb="3" eb="5">
      <t>チンカ</t>
    </rPh>
    <rPh sb="5" eb="6">
      <t>リョウ</t>
    </rPh>
    <phoneticPr fontId="1"/>
  </si>
  <si>
    <t>R1沈下量</t>
    <rPh sb="2" eb="4">
      <t>チンカ</t>
    </rPh>
    <rPh sb="4" eb="5">
      <t>リョウ</t>
    </rPh>
    <phoneticPr fontId="1"/>
  </si>
  <si>
    <t>R2沈下量</t>
    <rPh sb="2" eb="4">
      <t>チンカ</t>
    </rPh>
    <rPh sb="4" eb="5">
      <t>リョウ</t>
    </rPh>
    <phoneticPr fontId="1"/>
  </si>
  <si>
    <t>R3沈下量</t>
    <rPh sb="2" eb="4">
      <t>チンカ</t>
    </rPh>
    <rPh sb="4" eb="5">
      <t>リョウ</t>
    </rPh>
    <phoneticPr fontId="1"/>
  </si>
  <si>
    <t>R4沈下量</t>
    <rPh sb="2" eb="4">
      <t>チンカ</t>
    </rPh>
    <rPh sb="4" eb="5">
      <t>リョウ</t>
    </rPh>
    <phoneticPr fontId="1"/>
  </si>
  <si>
    <t>R5沈下量</t>
    <rPh sb="2" eb="4">
      <t>チンカ</t>
    </rPh>
    <rPh sb="4" eb="5">
      <t>リョウ</t>
    </rPh>
    <phoneticPr fontId="1"/>
  </si>
  <si>
    <t>R5</t>
    <phoneticPr fontId="1"/>
  </si>
  <si>
    <t>R4</t>
    <phoneticPr fontId="1"/>
  </si>
  <si>
    <t>R3</t>
    <phoneticPr fontId="1"/>
  </si>
  <si>
    <t>R2</t>
    <phoneticPr fontId="1"/>
  </si>
  <si>
    <t>R1</t>
    <phoneticPr fontId="1"/>
  </si>
  <si>
    <t>H29</t>
    <phoneticPr fontId="1"/>
  </si>
  <si>
    <t>H26</t>
    <phoneticPr fontId="1"/>
  </si>
  <si>
    <t>H25</t>
    <phoneticPr fontId="1"/>
  </si>
  <si>
    <t>H29</t>
    <phoneticPr fontId="1"/>
  </si>
  <si>
    <t>H27</t>
    <phoneticPr fontId="1"/>
  </si>
  <si>
    <t>H27</t>
    <phoneticPr fontId="1"/>
  </si>
  <si>
    <t>H27</t>
    <phoneticPr fontId="1"/>
  </si>
  <si>
    <t>H20</t>
    <phoneticPr fontId="1"/>
  </si>
  <si>
    <t>H26</t>
    <phoneticPr fontId="1"/>
  </si>
  <si>
    <t>H28</t>
    <phoneticPr fontId="1"/>
  </si>
  <si>
    <t>H28</t>
    <phoneticPr fontId="1"/>
  </si>
  <si>
    <t>H29</t>
    <phoneticPr fontId="1"/>
  </si>
  <si>
    <t>H25</t>
    <phoneticPr fontId="1"/>
  </si>
  <si>
    <t>H22</t>
    <phoneticPr fontId="1"/>
  </si>
  <si>
    <t>H28</t>
    <phoneticPr fontId="1"/>
  </si>
  <si>
    <t>H23</t>
    <phoneticPr fontId="1"/>
  </si>
  <si>
    <t>H16</t>
    <phoneticPr fontId="1"/>
  </si>
  <si>
    <t>H16</t>
    <phoneticPr fontId="1"/>
  </si>
  <si>
    <t>H25</t>
    <phoneticPr fontId="1"/>
  </si>
  <si>
    <t>H27</t>
    <phoneticPr fontId="1"/>
  </si>
  <si>
    <t>H29</t>
    <phoneticPr fontId="1"/>
  </si>
  <si>
    <t>H26</t>
    <phoneticPr fontId="1"/>
  </si>
  <si>
    <t>H25</t>
    <phoneticPr fontId="1"/>
  </si>
  <si>
    <t>H26</t>
    <phoneticPr fontId="1"/>
  </si>
  <si>
    <t>累計</t>
    <rPh sb="0" eb="2">
      <t>ルイケイ</t>
    </rPh>
    <phoneticPr fontId="1"/>
  </si>
  <si>
    <t>沈下量</t>
    <rPh sb="0" eb="2">
      <t>チンカ</t>
    </rPh>
    <rPh sb="2" eb="3">
      <t>リョウ</t>
    </rPh>
    <phoneticPr fontId="1"/>
  </si>
  <si>
    <t>1.0cm以上
2.0cm未満</t>
    <phoneticPr fontId="1"/>
  </si>
  <si>
    <t>2.0cm以上
3.0cm未満</t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</si>
  <si>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</si>
  <si>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1.15 cm</t>
    <phoneticPr fontId="1"/>
  </si>
  <si>
    <t>73-03
北）新琴似10条10丁目</t>
    <rPh sb="6" eb="7">
      <t>キタ</t>
    </rPh>
    <phoneticPr fontId="1"/>
  </si>
  <si>
    <t>38
[84.5 km]</t>
    <phoneticPr fontId="1"/>
  </si>
  <si>
    <t>最新標高</t>
    <rPh sb="0" eb="2">
      <t>サイシン</t>
    </rPh>
    <rPh sb="2" eb="4">
      <t>ヒョウコウ</t>
    </rPh>
    <phoneticPr fontId="1"/>
  </si>
  <si>
    <t>年度</t>
    <rPh sb="0" eb="2">
      <t>ネンド</t>
    </rPh>
    <phoneticPr fontId="1"/>
  </si>
  <si>
    <t>Ｒ2時点最新標高</t>
    <rPh sb="2" eb="4">
      <t>ジテン</t>
    </rPh>
    <rPh sb="4" eb="6">
      <t>サイシン</t>
    </rPh>
    <rPh sb="6" eb="8">
      <t>ヒョウコウ</t>
    </rPh>
    <phoneticPr fontId="1"/>
  </si>
  <si>
    <t>Ｒ1時点最新標高</t>
    <rPh sb="2" eb="4">
      <t>ジテン</t>
    </rPh>
    <rPh sb="4" eb="6">
      <t>サイシン</t>
    </rPh>
    <rPh sb="6" eb="8">
      <t>ヒョウコウ</t>
    </rPh>
    <phoneticPr fontId="1"/>
  </si>
  <si>
    <t>当年度標高から直近の標高を引いたもの（年沈下量とは限らない）</t>
    <rPh sb="0" eb="3">
      <t>トウネンド</t>
    </rPh>
    <rPh sb="3" eb="5">
      <t>ヒョウコウ</t>
    </rPh>
    <rPh sb="7" eb="9">
      <t>チョッキン</t>
    </rPh>
    <rPh sb="10" eb="12">
      <t>ヒョウコウ</t>
    </rPh>
    <rPh sb="13" eb="14">
      <t>ヒ</t>
    </rPh>
    <rPh sb="19" eb="20">
      <t>ネン</t>
    </rPh>
    <rPh sb="20" eb="22">
      <t>チンカ</t>
    </rPh>
    <rPh sb="22" eb="23">
      <t>リョウ</t>
    </rPh>
    <rPh sb="25" eb="26">
      <t>カギ</t>
    </rPh>
    <phoneticPr fontId="1"/>
  </si>
  <si>
    <t>2年累積</t>
    <rPh sb="1" eb="4">
      <t>ネンルイセキ</t>
    </rPh>
    <phoneticPr fontId="1"/>
  </si>
  <si>
    <t>3年累積</t>
    <rPh sb="1" eb="4">
      <t>ネンルイセキ</t>
    </rPh>
    <phoneticPr fontId="1"/>
  </si>
  <si>
    <t>3年累積</t>
    <rPh sb="1" eb="4">
      <t>ネンルイセキ</t>
    </rPh>
    <phoneticPr fontId="1"/>
  </si>
  <si>
    <t>5年累積</t>
    <rPh sb="1" eb="4">
      <t>ネンルイセキ</t>
    </rPh>
    <phoneticPr fontId="1"/>
  </si>
  <si>
    <t>4年累積</t>
    <rPh sb="1" eb="4">
      <t>ネンルイセキ</t>
    </rPh>
    <phoneticPr fontId="1"/>
  </si>
  <si>
    <t>精密水準測量成果表（平成９～令和２年度）</t>
    <rPh sb="0" eb="1">
      <t>セイ</t>
    </rPh>
    <rPh sb="1" eb="2">
      <t>ミツ</t>
    </rPh>
    <rPh sb="2" eb="3">
      <t>ミズ</t>
    </rPh>
    <rPh sb="3" eb="4">
      <t>ジュン</t>
    </rPh>
    <rPh sb="4" eb="5">
      <t>ハカリ</t>
    </rPh>
    <rPh sb="5" eb="6">
      <t>リョウ</t>
    </rPh>
    <rPh sb="6" eb="7">
      <t>シゲル</t>
    </rPh>
    <rPh sb="7" eb="8">
      <t>ハタシ</t>
    </rPh>
    <rPh sb="8" eb="9">
      <t>ヒョウ</t>
    </rPh>
    <rPh sb="10" eb="12">
      <t>ヘイセイ</t>
    </rPh>
    <rPh sb="14" eb="16">
      <t>レイワ</t>
    </rPh>
    <rPh sb="17" eb="19">
      <t>ネンド</t>
    </rPh>
    <phoneticPr fontId="1"/>
  </si>
  <si>
    <t>値付</t>
    <rPh sb="0" eb="2">
      <t>ネヅ</t>
    </rPh>
    <phoneticPr fontId="1"/>
  </si>
  <si>
    <t>R2</t>
  </si>
  <si>
    <t>令和２年度</t>
    <rPh sb="0" eb="2">
      <t>レイワ</t>
    </rPh>
    <rPh sb="3" eb="5">
      <t>ネンド</t>
    </rPh>
    <phoneticPr fontId="1"/>
  </si>
  <si>
    <t>0.79 cm</t>
    <phoneticPr fontId="1"/>
  </si>
  <si>
    <t>83-05
厚）厚別町山本番地</t>
    <rPh sb="6" eb="7">
      <t>アツ</t>
    </rPh>
    <rPh sb="8" eb="11">
      <t>アツベツチョウ</t>
    </rPh>
    <rPh sb="11" eb="15">
      <t>ヤマモトバンチ</t>
    </rPh>
    <phoneticPr fontId="1"/>
  </si>
  <si>
    <t>＜0隆起</t>
    <rPh sb="2" eb="4">
      <t>リュウキ</t>
    </rPh>
    <phoneticPr fontId="1"/>
  </si>
  <si>
    <t>&gt;0沈下</t>
    <rPh sb="2" eb="4">
      <t>チンカ</t>
    </rPh>
    <phoneticPr fontId="1"/>
  </si>
  <si>
    <t>-</t>
    <phoneticPr fontId="1"/>
  </si>
  <si>
    <t>計</t>
    <rPh sb="0" eb="1">
      <t>ケイ</t>
    </rPh>
    <phoneticPr fontId="1"/>
  </si>
  <si>
    <t>49
[89.2 km]</t>
    <phoneticPr fontId="1"/>
  </si>
  <si>
    <t>　※　　年最大沈下量は、累積沈下量の年平均値</t>
    <rPh sb="4" eb="5">
      <t>トシ</t>
    </rPh>
    <rPh sb="5" eb="7">
      <t>サイダイ</t>
    </rPh>
    <rPh sb="7" eb="9">
      <t>チンカ</t>
    </rPh>
    <rPh sb="9" eb="10">
      <t>リョウ</t>
    </rPh>
    <rPh sb="12" eb="14">
      <t>ルイセキ</t>
    </rPh>
    <rPh sb="14" eb="16">
      <t>チンカ</t>
    </rPh>
    <rPh sb="16" eb="17">
      <t>リョウ</t>
    </rPh>
    <rPh sb="18" eb="19">
      <t>ネン</t>
    </rPh>
    <rPh sb="19" eb="22">
      <t>ヘイキンチ</t>
    </rPh>
    <phoneticPr fontId="1"/>
  </si>
  <si>
    <t>R2移設</t>
    <rPh sb="2" eb="4">
      <t>イセツ</t>
    </rPh>
    <phoneticPr fontId="1"/>
  </si>
  <si>
    <t>Ｒ3時点最新標高</t>
    <rPh sb="2" eb="4">
      <t>ジテン</t>
    </rPh>
    <rPh sb="4" eb="6">
      <t>サイシン</t>
    </rPh>
    <rPh sb="6" eb="8">
      <t>ヒョウコウ</t>
    </rPh>
    <phoneticPr fontId="1"/>
  </si>
  <si>
    <t>R3</t>
  </si>
  <si>
    <t>5年累積</t>
    <rPh sb="1" eb="2">
      <t>ネン</t>
    </rPh>
    <rPh sb="2" eb="4">
      <t>ルイセキ</t>
    </rPh>
    <phoneticPr fontId="1"/>
  </si>
  <si>
    <t>-</t>
    <phoneticPr fontId="1"/>
  </si>
  <si>
    <t>篠路町拓北番地</t>
  </si>
  <si>
    <t>78-09</t>
  </si>
  <si>
    <t>東雁来町番地</t>
  </si>
  <si>
    <t>74-06</t>
  </si>
  <si>
    <t>丘珠町番地</t>
  </si>
  <si>
    <t>中沼町番地</t>
  </si>
  <si>
    <t>78-11</t>
  </si>
  <si>
    <t>東米里番地</t>
  </si>
  <si>
    <t>83-03</t>
  </si>
  <si>
    <t>79-01</t>
  </si>
  <si>
    <t>74-11</t>
  </si>
  <si>
    <t>78-02</t>
  </si>
  <si>
    <t>手稲山口番地</t>
  </si>
  <si>
    <t>令和３年度</t>
    <rPh sb="0" eb="2">
      <t>レイワ</t>
    </rPh>
    <rPh sb="3" eb="5">
      <t>ネンド</t>
    </rPh>
    <phoneticPr fontId="1"/>
  </si>
  <si>
    <t>0.83 cm</t>
    <phoneticPr fontId="1"/>
  </si>
  <si>
    <t>MAX</t>
    <phoneticPr fontId="1"/>
  </si>
  <si>
    <t>沈下地点数</t>
    <rPh sb="0" eb="2">
      <t>チンカ</t>
    </rPh>
    <rPh sb="2" eb="4">
      <t>チテン</t>
    </rPh>
    <rPh sb="4" eb="5">
      <t>スウ</t>
    </rPh>
    <phoneticPr fontId="1"/>
  </si>
  <si>
    <t>隆起地点数</t>
    <rPh sb="0" eb="2">
      <t>リュウキ</t>
    </rPh>
    <rPh sb="2" eb="5">
      <t>チテンスウ</t>
    </rPh>
    <phoneticPr fontId="1"/>
  </si>
  <si>
    <t>変化なし地点数</t>
    <rPh sb="0" eb="2">
      <t>ヘンカ</t>
    </rPh>
    <rPh sb="4" eb="7">
      <t>チテンスウ</t>
    </rPh>
    <phoneticPr fontId="1"/>
  </si>
  <si>
    <t>R3廃止</t>
    <rPh sb="2" eb="4">
      <t>ハイシ</t>
    </rPh>
    <phoneticPr fontId="1"/>
  </si>
  <si>
    <t>R3廃止</t>
    <rPh sb="2" eb="4">
      <t>ハイシ</t>
    </rPh>
    <phoneticPr fontId="1"/>
  </si>
  <si>
    <t>37
[91.0 km]</t>
    <phoneticPr fontId="1"/>
  </si>
  <si>
    <t>廃止</t>
    <rPh sb="0" eb="2">
      <t>ハイシ</t>
    </rPh>
    <phoneticPr fontId="1"/>
  </si>
  <si>
    <t>廃止</t>
    <rPh sb="0" eb="2">
      <t>ハイシ</t>
    </rPh>
    <phoneticPr fontId="1"/>
  </si>
  <si>
    <t>Ｒ4時点最新標高</t>
    <rPh sb="2" eb="4">
      <t>ジテン</t>
    </rPh>
    <rPh sb="4" eb="6">
      <t>サイシン</t>
    </rPh>
    <rPh sb="6" eb="8">
      <t>ヒョウコウ</t>
    </rPh>
    <phoneticPr fontId="1"/>
  </si>
  <si>
    <t>R4</t>
  </si>
  <si>
    <t>3年累積</t>
    <phoneticPr fontId="1"/>
  </si>
  <si>
    <t>5年累積</t>
    <phoneticPr fontId="1"/>
  </si>
  <si>
    <t>4年累積</t>
    <phoneticPr fontId="1"/>
  </si>
  <si>
    <t>2年累積</t>
    <phoneticPr fontId="1"/>
  </si>
  <si>
    <t>令和４年度</t>
    <rPh sb="0" eb="2">
      <t>レイワ</t>
    </rPh>
    <rPh sb="3" eb="5">
      <t>ネンド</t>
    </rPh>
    <phoneticPr fontId="1"/>
  </si>
  <si>
    <t>観測地点数は、原標及び値付地点は含まず
地１は別案の142行目です。</t>
    <rPh sb="0" eb="5">
      <t>カンソクチテンスウ</t>
    </rPh>
    <rPh sb="7" eb="8">
      <t>ハラ</t>
    </rPh>
    <rPh sb="8" eb="9">
      <t>ヒョウ</t>
    </rPh>
    <rPh sb="9" eb="10">
      <t>オヨ</t>
    </rPh>
    <rPh sb="11" eb="13">
      <t>ネヅ</t>
    </rPh>
    <rPh sb="13" eb="15">
      <t>チテン</t>
    </rPh>
    <rPh sb="16" eb="17">
      <t>フク</t>
    </rPh>
    <phoneticPr fontId="1"/>
  </si>
  <si>
    <t>単年度最大</t>
    <rPh sb="0" eb="3">
      <t>タンネンド</t>
    </rPh>
    <rPh sb="3" eb="5">
      <t>サイダイ</t>
    </rPh>
    <phoneticPr fontId="1"/>
  </si>
  <si>
    <t>84-01
白）東米里番地</t>
    <rPh sb="6" eb="7">
      <t>シロ</t>
    </rPh>
    <rPh sb="8" eb="9">
      <t>ヒガシ</t>
    </rPh>
    <rPh sb="9" eb="11">
      <t>ヨネサト</t>
    </rPh>
    <rPh sb="11" eb="13">
      <t>バンチ</t>
    </rPh>
    <phoneticPr fontId="1"/>
  </si>
  <si>
    <t>路線距離は、実績ではなく設計時の距離</t>
    <rPh sb="0" eb="2">
      <t>ロセン</t>
    </rPh>
    <rPh sb="2" eb="4">
      <t>キョリ</t>
    </rPh>
    <rPh sb="6" eb="8">
      <t>ジッセキ</t>
    </rPh>
    <rPh sb="12" eb="14">
      <t>セッケイ</t>
    </rPh>
    <rPh sb="14" eb="15">
      <t>ジ</t>
    </rPh>
    <rPh sb="16" eb="18">
      <t>キョリ</t>
    </rPh>
    <phoneticPr fontId="1"/>
  </si>
  <si>
    <t>78-07</t>
    <phoneticPr fontId="1"/>
  </si>
  <si>
    <t>北3条西5丁目</t>
    <rPh sb="0" eb="1">
      <t>キタ</t>
    </rPh>
    <rPh sb="2" eb="3">
      <t>ジョウ</t>
    </rPh>
    <rPh sb="3" eb="4">
      <t>ニシ</t>
    </rPh>
    <rPh sb="5" eb="7">
      <t>チョウメ</t>
    </rPh>
    <phoneticPr fontId="1"/>
  </si>
  <si>
    <t>北1条西25丁目</t>
    <rPh sb="0" eb="1">
      <t>キタ</t>
    </rPh>
    <rPh sb="2" eb="3">
      <t>ジョウ</t>
    </rPh>
    <rPh sb="3" eb="4">
      <t>ニシ</t>
    </rPh>
    <rPh sb="6" eb="8">
      <t>チョウメ</t>
    </rPh>
    <phoneticPr fontId="1"/>
  </si>
  <si>
    <t>大通西2丁目</t>
    <rPh sb="0" eb="2">
      <t>オオドオ</t>
    </rPh>
    <rPh sb="2" eb="3">
      <t>ニシ</t>
    </rPh>
    <rPh sb="4" eb="6">
      <t>チョウメ</t>
    </rPh>
    <phoneticPr fontId="1"/>
  </si>
  <si>
    <t>屯田9条12丁目</t>
    <rPh sb="0" eb="2">
      <t>トンデン</t>
    </rPh>
    <rPh sb="3" eb="4">
      <t>ジョウ</t>
    </rPh>
    <rPh sb="6" eb="8">
      <t>チョウメ</t>
    </rPh>
    <phoneticPr fontId="1"/>
  </si>
  <si>
    <t>大谷地西1丁目</t>
    <rPh sb="0" eb="3">
      <t>オオヤチ</t>
    </rPh>
    <rPh sb="3" eb="4">
      <t>ニシ</t>
    </rPh>
    <rPh sb="5" eb="7">
      <t>チョウメ</t>
    </rPh>
    <phoneticPr fontId="1"/>
  </si>
  <si>
    <t>曙5条4丁目</t>
  </si>
  <si>
    <t>星置南3丁目</t>
    <rPh sb="0" eb="2">
      <t>ホシオキ</t>
    </rPh>
    <rPh sb="2" eb="3">
      <t>ミナミ</t>
    </rPh>
    <rPh sb="4" eb="6">
      <t>チョウメ</t>
    </rPh>
    <phoneticPr fontId="1"/>
  </si>
  <si>
    <t>稲穂2条5丁目</t>
    <rPh sb="0" eb="2">
      <t>イナホ</t>
    </rPh>
    <rPh sb="3" eb="4">
      <t>ジョウ</t>
    </rPh>
    <rPh sb="5" eb="7">
      <t>チョウメ</t>
    </rPh>
    <phoneticPr fontId="1"/>
  </si>
  <si>
    <t>前田6条11丁目</t>
    <rPh sb="0" eb="2">
      <t>マエダ</t>
    </rPh>
    <phoneticPr fontId="1"/>
  </si>
  <si>
    <t>東7丁目緑地公園</t>
  </si>
  <si>
    <t>豊水会館</t>
  </si>
  <si>
    <t>山鼻公園</t>
  </si>
  <si>
    <t>シーアイマンション円山</t>
  </si>
  <si>
    <t>新川見はるかす緑地</t>
  </si>
  <si>
    <t>北海道電力西札幌変電所</t>
  </si>
  <si>
    <t>新琴似ひよどり公園</t>
  </si>
  <si>
    <t>屯田ピノキオ公園</t>
  </si>
  <si>
    <t>創成川下水処理場</t>
  </si>
  <si>
    <t>平和園太平店</t>
  </si>
  <si>
    <t>コイン洗車場</t>
  </si>
  <si>
    <t>上篠路ひよっこ公園</t>
  </si>
  <si>
    <t>教願寺敷地</t>
  </si>
  <si>
    <t>拓北西公園</t>
  </si>
  <si>
    <t>動物管理センター福移支所</t>
  </si>
  <si>
    <t>プライムアーバン北14条</t>
  </si>
  <si>
    <t>札幌開成中等教育学校</t>
  </si>
  <si>
    <t>豊畑第一公園</t>
  </si>
  <si>
    <t>中沼産業廃棄処理センター</t>
  </si>
  <si>
    <t>丘珠さつき公園</t>
  </si>
  <si>
    <t>東苗穂北公園</t>
  </si>
  <si>
    <t>三菱ふそうトラック・バス（株）</t>
  </si>
  <si>
    <t>教照寺参道</t>
  </si>
  <si>
    <t>株式会社いとう</t>
  </si>
  <si>
    <t>米こめ広場</t>
  </si>
  <si>
    <t>米里いきいき公園</t>
  </si>
  <si>
    <t>北白石小学校・中学校</t>
  </si>
  <si>
    <t>アーク88</t>
  </si>
  <si>
    <t>羊丘小学校</t>
  </si>
  <si>
    <t>真駒内緑地</t>
  </si>
  <si>
    <t>鉄興公園</t>
  </si>
  <si>
    <t>スーパーオートバックス</t>
  </si>
  <si>
    <t>八軒まりも公園</t>
  </si>
  <si>
    <t>かげろう公園</t>
  </si>
  <si>
    <t>コインランドリー前</t>
  </si>
  <si>
    <t>高田橋</t>
  </si>
  <si>
    <t>厚別水再生プラザ</t>
  </si>
  <si>
    <t>山本北処理場</t>
  </si>
  <si>
    <t>環状夢のグリーンベルト発祥記念の森</t>
  </si>
  <si>
    <t>青葉緑地</t>
  </si>
  <si>
    <t>大谷地の森公園</t>
  </si>
  <si>
    <t>厚別通小学校</t>
  </si>
  <si>
    <t>JR北海道バス星置橋停留所付近</t>
  </si>
  <si>
    <t>東会館</t>
  </si>
  <si>
    <t>北海道科学大学</t>
  </si>
  <si>
    <t>手稲富丘郵便局</t>
  </si>
  <si>
    <t>新陵東小学校</t>
  </si>
  <si>
    <t>平岡てんとう虫公園</t>
  </si>
  <si>
    <t>個人宅</t>
    <phoneticPr fontId="1"/>
  </si>
  <si>
    <t>北3条西5丁目</t>
    <rPh sb="0" eb="1">
      <t>キタ</t>
    </rPh>
    <rPh sb="2" eb="3">
      <t>ジョウ</t>
    </rPh>
    <rPh sb="3" eb="4">
      <t>ニシ</t>
    </rPh>
    <rPh sb="5" eb="7">
      <t>チョウメ</t>
    </rPh>
    <phoneticPr fontId="20"/>
  </si>
  <si>
    <t>北1条西25丁目</t>
    <rPh sb="0" eb="1">
      <t>キタ</t>
    </rPh>
    <rPh sb="2" eb="3">
      <t>ジョウ</t>
    </rPh>
    <rPh sb="3" eb="4">
      <t>ニシ</t>
    </rPh>
    <rPh sb="6" eb="8">
      <t>チョウメ</t>
    </rPh>
    <phoneticPr fontId="20"/>
  </si>
  <si>
    <t>大通西2丁目</t>
    <rPh sb="0" eb="2">
      <t>オオドオ</t>
    </rPh>
    <rPh sb="2" eb="3">
      <t>ニシ</t>
    </rPh>
    <rPh sb="4" eb="6">
      <t>チョウメ</t>
    </rPh>
    <phoneticPr fontId="20"/>
  </si>
  <si>
    <t>新川西2条6丁目</t>
    <rPh sb="2" eb="3">
      <t>ニシ</t>
    </rPh>
    <rPh sb="4" eb="5">
      <t>ジョウ</t>
    </rPh>
    <rPh sb="6" eb="8">
      <t>チョウメ</t>
    </rPh>
    <phoneticPr fontId="20"/>
  </si>
  <si>
    <t>新川西1条2丁目</t>
    <rPh sb="2" eb="3">
      <t>ニシ</t>
    </rPh>
    <rPh sb="4" eb="5">
      <t>ジョウ</t>
    </rPh>
    <rPh sb="6" eb="8">
      <t>チョウメ</t>
    </rPh>
    <phoneticPr fontId="20"/>
  </si>
  <si>
    <t>新琴似6条17丁目</t>
    <rPh sb="4" eb="5">
      <t>ジョウ</t>
    </rPh>
    <rPh sb="7" eb="9">
      <t>チョウメ</t>
    </rPh>
    <phoneticPr fontId="20"/>
  </si>
  <si>
    <t>屯田町番地</t>
  </si>
  <si>
    <t>屯田9条12丁目</t>
    <rPh sb="0" eb="2">
      <t>トンデン</t>
    </rPh>
    <rPh sb="3" eb="4">
      <t>ジョウ</t>
    </rPh>
    <rPh sb="6" eb="8">
      <t>チョウメ</t>
    </rPh>
    <phoneticPr fontId="20"/>
  </si>
  <si>
    <t>篠路町上篠路番地</t>
    <rPh sb="6" eb="8">
      <t>バンチ</t>
    </rPh>
    <phoneticPr fontId="20"/>
  </si>
  <si>
    <t>篠路町篠路番地</t>
    <rPh sb="5" eb="7">
      <t>バンチ</t>
    </rPh>
    <phoneticPr fontId="20"/>
  </si>
  <si>
    <t>篠路町福移番地</t>
    <rPh sb="5" eb="7">
      <t>バンチ</t>
    </rPh>
    <phoneticPr fontId="20"/>
  </si>
  <si>
    <t>東雁来2条1丁目</t>
    <rPh sb="4" eb="5">
      <t>ジョウ</t>
    </rPh>
    <rPh sb="6" eb="8">
      <t>チョウメ</t>
    </rPh>
    <phoneticPr fontId="20"/>
  </si>
  <si>
    <t>北丘珠4条1丁目</t>
    <rPh sb="0" eb="1">
      <t>キタオカ</t>
    </rPh>
    <rPh sb="4" eb="5">
      <t>ジョウ</t>
    </rPh>
    <rPh sb="6" eb="8">
      <t>チョウメ</t>
    </rPh>
    <phoneticPr fontId="20"/>
  </si>
  <si>
    <t>北丘珠3条4丁目</t>
    <rPh sb="0" eb="1">
      <t>キタ</t>
    </rPh>
    <rPh sb="4" eb="5">
      <t>ジョウ</t>
    </rPh>
    <rPh sb="6" eb="8">
      <t>チョウメ</t>
    </rPh>
    <phoneticPr fontId="20"/>
  </si>
  <si>
    <t>東苗穂10条2丁目</t>
    <rPh sb="0" eb="1">
      <t>ヒガシ</t>
    </rPh>
    <rPh sb="1" eb="3">
      <t>ナエボ</t>
    </rPh>
    <rPh sb="5" eb="6">
      <t>ジョウ</t>
    </rPh>
    <rPh sb="7" eb="9">
      <t>チョウメ</t>
    </rPh>
    <phoneticPr fontId="20"/>
  </si>
  <si>
    <t>米里5条1丁目</t>
    <rPh sb="3" eb="4">
      <t>ジョウ</t>
    </rPh>
    <rPh sb="5" eb="7">
      <t>チョウメ</t>
    </rPh>
    <phoneticPr fontId="20"/>
  </si>
  <si>
    <t>川下番地</t>
  </si>
  <si>
    <t>川北番地</t>
  </si>
  <si>
    <t>北郷番地</t>
  </si>
  <si>
    <t>真駒内公園番地</t>
  </si>
  <si>
    <t>宮の沢1条5丁目</t>
    <rPh sb="0" eb="1">
      <t>ミヤ</t>
    </rPh>
    <rPh sb="2" eb="3">
      <t>サワ</t>
    </rPh>
    <phoneticPr fontId="20"/>
  </si>
  <si>
    <t>大谷地西1丁目</t>
    <rPh sb="0" eb="3">
      <t>オオヤチ</t>
    </rPh>
    <rPh sb="3" eb="4">
      <t>ニシ</t>
    </rPh>
    <rPh sb="5" eb="7">
      <t>チョウメ</t>
    </rPh>
    <phoneticPr fontId="20"/>
  </si>
  <si>
    <t>厚別町山本番地</t>
    <rPh sb="5" eb="7">
      <t>バンチ</t>
    </rPh>
    <phoneticPr fontId="20"/>
  </si>
  <si>
    <t>大谷地西2丁目</t>
    <rPh sb="0" eb="3">
      <t>オオヤチ</t>
    </rPh>
    <phoneticPr fontId="20"/>
  </si>
  <si>
    <t>厚別西4条3丁目</t>
    <rPh sb="0" eb="2">
      <t>アツベツ</t>
    </rPh>
    <phoneticPr fontId="20"/>
  </si>
  <si>
    <t>星置南3丁目</t>
    <rPh sb="0" eb="2">
      <t>ホシオキ</t>
    </rPh>
    <rPh sb="2" eb="3">
      <t>ミナミ</t>
    </rPh>
    <rPh sb="4" eb="6">
      <t>チョウメ</t>
    </rPh>
    <phoneticPr fontId="20"/>
  </si>
  <si>
    <t>稲穂2条5丁目</t>
    <rPh sb="0" eb="2">
      <t>イナホ</t>
    </rPh>
    <rPh sb="3" eb="4">
      <t>ジョウ</t>
    </rPh>
    <rPh sb="5" eb="7">
      <t>チョウメ</t>
    </rPh>
    <phoneticPr fontId="20"/>
  </si>
  <si>
    <t>前田7条15丁目</t>
    <rPh sb="3" eb="4">
      <t>ジョウ</t>
    </rPh>
    <rPh sb="6" eb="8">
      <t>チョウメ</t>
    </rPh>
    <phoneticPr fontId="20"/>
  </si>
  <si>
    <t>前田6条11丁目</t>
    <rPh sb="0" eb="2">
      <t>マエダ</t>
    </rPh>
    <phoneticPr fontId="20"/>
  </si>
  <si>
    <t>H30移転</t>
    <rPh sb="3" eb="5">
      <t>イテン</t>
    </rPh>
    <phoneticPr fontId="1"/>
  </si>
  <si>
    <t>H30移設</t>
    <rPh sb="3" eb="5">
      <t>イセツ</t>
    </rPh>
    <phoneticPr fontId="1"/>
  </si>
  <si>
    <t>大谷地西1丁目4</t>
    <phoneticPr fontId="1"/>
  </si>
  <si>
    <t>北1条西25丁目2番7号地先</t>
    <rPh sb="9" eb="10">
      <t>バン</t>
    </rPh>
    <rPh sb="11" eb="12">
      <t>ゴウ</t>
    </rPh>
    <rPh sb="12" eb="14">
      <t>チサキ</t>
    </rPh>
    <phoneticPr fontId="1"/>
  </si>
  <si>
    <t>大通西2丁目1番地</t>
    <rPh sb="0" eb="2">
      <t>オオドオ</t>
    </rPh>
    <rPh sb="2" eb="3">
      <t>ニシ</t>
    </rPh>
    <rPh sb="4" eb="6">
      <t>チョウメ</t>
    </rPh>
    <rPh sb="7" eb="9">
      <t>バンチ</t>
    </rPh>
    <phoneticPr fontId="1"/>
  </si>
  <si>
    <t>屯田9条12丁目6番地</t>
    <rPh sb="0" eb="2">
      <t>トンデン</t>
    </rPh>
    <rPh sb="3" eb="4">
      <t>ジョウ</t>
    </rPh>
    <rPh sb="6" eb="8">
      <t>チョウメ</t>
    </rPh>
    <rPh sb="9" eb="10">
      <t>バン</t>
    </rPh>
    <rPh sb="10" eb="11">
      <t>チ</t>
    </rPh>
    <phoneticPr fontId="20"/>
  </si>
  <si>
    <t>曙5条4丁目94番地1号</t>
    <rPh sb="8" eb="10">
      <t>バンチ</t>
    </rPh>
    <rPh sb="11" eb="12">
      <t>ゴウ</t>
    </rPh>
    <phoneticPr fontId="1"/>
  </si>
  <si>
    <t>星置南3丁目56番1</t>
    <rPh sb="0" eb="2">
      <t>ホシオキ</t>
    </rPh>
    <rPh sb="2" eb="3">
      <t>ミナミ</t>
    </rPh>
    <rPh sb="4" eb="6">
      <t>チョウメ</t>
    </rPh>
    <rPh sb="8" eb="9">
      <t>バン</t>
    </rPh>
    <phoneticPr fontId="20"/>
  </si>
  <si>
    <t>稲穂2条5丁目173番8号</t>
    <rPh sb="0" eb="2">
      <t>イナホ</t>
    </rPh>
    <rPh sb="3" eb="4">
      <t>ジョウ</t>
    </rPh>
    <rPh sb="5" eb="7">
      <t>チョウメ</t>
    </rPh>
    <rPh sb="10" eb="11">
      <t>バン</t>
    </rPh>
    <rPh sb="12" eb="13">
      <t>ゴウ</t>
    </rPh>
    <phoneticPr fontId="20"/>
  </si>
  <si>
    <t>前田6条11丁目380番3号</t>
    <rPh sb="0" eb="2">
      <t>マエダ</t>
    </rPh>
    <rPh sb="11" eb="12">
      <t>バン</t>
    </rPh>
    <rPh sb="13" eb="14">
      <t>ゴウ</t>
    </rPh>
    <phoneticPr fontId="20"/>
  </si>
  <si>
    <t>丸子宅</t>
    <rPh sb="0" eb="2">
      <t>マルコ</t>
    </rPh>
    <rPh sb="2" eb="3">
      <t>タク</t>
    </rPh>
    <phoneticPr fontId="1"/>
  </si>
  <si>
    <t>内田宅</t>
    <rPh sb="0" eb="2">
      <t>ウチダ</t>
    </rPh>
    <phoneticPr fontId="1"/>
  </si>
  <si>
    <t>中島宅</t>
    <rPh sb="0" eb="2">
      <t>ナカジマ</t>
    </rPh>
    <rPh sb="2" eb="3">
      <t>タク</t>
    </rPh>
    <phoneticPr fontId="1"/>
  </si>
  <si>
    <t>吉本宅</t>
    <rPh sb="0" eb="2">
      <t>ヨシモト</t>
    </rPh>
    <phoneticPr fontId="1"/>
  </si>
  <si>
    <t>富樫宅</t>
    <rPh sb="0" eb="2">
      <t>トガシ</t>
    </rPh>
    <phoneticPr fontId="1"/>
  </si>
  <si>
    <t>東山宅</t>
    <rPh sb="0" eb="2">
      <t>トウヤマ</t>
    </rPh>
    <phoneticPr fontId="1"/>
  </si>
  <si>
    <t>可児宅</t>
    <rPh sb="0" eb="2">
      <t>カジ</t>
    </rPh>
    <phoneticPr fontId="1"/>
  </si>
  <si>
    <t>北3条西5丁目1番</t>
    <phoneticPr fontId="1"/>
  </si>
  <si>
    <t>精密水準測量成果表（平成９～令和５年度）</t>
    <rPh sb="0" eb="1">
      <t>セイ</t>
    </rPh>
    <rPh sb="1" eb="2">
      <t>ミツ</t>
    </rPh>
    <rPh sb="2" eb="3">
      <t>ミズ</t>
    </rPh>
    <rPh sb="3" eb="4">
      <t>ジュン</t>
    </rPh>
    <rPh sb="4" eb="5">
      <t>ハカリ</t>
    </rPh>
    <rPh sb="5" eb="6">
      <t>リョウ</t>
    </rPh>
    <rPh sb="6" eb="7">
      <t>シゲル</t>
    </rPh>
    <rPh sb="7" eb="8">
      <t>ハタシ</t>
    </rPh>
    <rPh sb="8" eb="9">
      <t>ヒョウ</t>
    </rPh>
    <rPh sb="10" eb="12">
      <t>ヘイセイ</t>
    </rPh>
    <rPh sb="14" eb="16">
      <t>レイワ</t>
    </rPh>
    <rPh sb="17" eb="19">
      <t>ネンド</t>
    </rPh>
    <phoneticPr fontId="1"/>
  </si>
  <si>
    <t>0.81 cm</t>
  </si>
  <si>
    <t>令和５年度</t>
    <rPh sb="0" eb="2">
      <t>レイワ</t>
    </rPh>
    <rPh sb="3" eb="5">
      <t>ネンド</t>
    </rPh>
    <phoneticPr fontId="1"/>
  </si>
  <si>
    <t>観測地点数は、原標及び値付地点は含まず
84-01は別案の87行目です。</t>
  </si>
  <si>
    <t>R5</t>
    <phoneticPr fontId="1"/>
  </si>
  <si>
    <t>Ｒ5時点最新標高</t>
    <rPh sb="2" eb="4">
      <t>ジテン</t>
    </rPh>
    <rPh sb="4" eb="6">
      <t>サイシン</t>
    </rPh>
    <rPh sb="6" eb="8">
      <t>ヒョウコウ</t>
    </rPh>
    <phoneticPr fontId="1"/>
  </si>
  <si>
    <t>3年累積</t>
    <rPh sb="1" eb="4">
      <t>ネンルイセキ</t>
    </rPh>
    <phoneticPr fontId="1"/>
  </si>
  <si>
    <t>3年累積</t>
    <phoneticPr fontId="1"/>
  </si>
  <si>
    <t>2年累積</t>
    <phoneticPr fontId="1"/>
  </si>
  <si>
    <t>6年累積</t>
    <rPh sb="1" eb="4">
      <t>ネンルイセキ</t>
    </rPh>
    <phoneticPr fontId="1"/>
  </si>
  <si>
    <t>H29移設</t>
    <rPh sb="3" eb="5">
      <t>イセツ</t>
    </rPh>
    <phoneticPr fontId="1"/>
  </si>
  <si>
    <t>平和園太平店</t>
    <phoneticPr fontId="1"/>
  </si>
  <si>
    <t>0.63 cm</t>
    <phoneticPr fontId="1"/>
  </si>
  <si>
    <t>太平5条1丁目</t>
    <phoneticPr fontId="1"/>
  </si>
  <si>
    <t>8416
北）太平5条1丁目</t>
    <rPh sb="5" eb="6">
      <t>キタ</t>
    </rPh>
    <phoneticPr fontId="1"/>
  </si>
  <si>
    <t>R5</t>
    <phoneticPr fontId="1"/>
  </si>
  <si>
    <t>R4</t>
    <phoneticPr fontId="1"/>
  </si>
  <si>
    <t>R5単年</t>
    <rPh sb="2" eb="3">
      <t>タン</t>
    </rPh>
    <rPh sb="3" eb="4">
      <t>ネン</t>
    </rPh>
    <phoneticPr fontId="1"/>
  </si>
  <si>
    <t>3年累積</t>
    <rPh sb="1" eb="4">
      <t>ネンルイセキ</t>
    </rPh>
    <phoneticPr fontId="20"/>
  </si>
  <si>
    <t>6年累積</t>
    <rPh sb="1" eb="4">
      <t>ネンルイセキ</t>
    </rPh>
    <phoneticPr fontId="1"/>
  </si>
  <si>
    <t>水準測量実施状況及び沈下量</t>
    <phoneticPr fontId="1"/>
  </si>
  <si>
    <t>地盤沈下に関する測量結果（代表４地区）</t>
    <rPh sb="0" eb="2">
      <t>ジバン</t>
    </rPh>
    <rPh sb="2" eb="4">
      <t>チンカ</t>
    </rPh>
    <rPh sb="5" eb="6">
      <t>カン</t>
    </rPh>
    <rPh sb="8" eb="10">
      <t>ソクリョウ</t>
    </rPh>
    <rPh sb="10" eb="12">
      <t>ケッカ</t>
    </rPh>
    <rPh sb="13" eb="15">
      <t>ダイヒョウ</t>
    </rPh>
    <rPh sb="16" eb="18">
      <t>チク</t>
    </rPh>
    <phoneticPr fontId="1"/>
  </si>
  <si>
    <t>35
[69.0 km]</t>
    <phoneticPr fontId="1"/>
  </si>
  <si>
    <t>令和元年度：５年間（平成27～令和元年度）</t>
    <rPh sb="0" eb="2">
      <t>レイワ</t>
    </rPh>
    <rPh sb="2" eb="3">
      <t>ガン</t>
    </rPh>
    <rPh sb="7" eb="9">
      <t>ネンカン</t>
    </rPh>
    <rPh sb="10" eb="12">
      <t>ヘイセイ</t>
    </rPh>
    <rPh sb="15" eb="17">
      <t>レイワ</t>
    </rPh>
    <rPh sb="17" eb="18">
      <t>ガン</t>
    </rPh>
    <rPh sb="18" eb="20">
      <t>ネンド</t>
    </rPh>
    <phoneticPr fontId="1"/>
  </si>
  <si>
    <t>令和２年度：２年間（令和元年度～令和２年度）</t>
    <rPh sb="0" eb="2">
      <t>レイワ</t>
    </rPh>
    <rPh sb="7" eb="9">
      <t>ネンカン</t>
    </rPh>
    <rPh sb="10" eb="12">
      <t>レイワ</t>
    </rPh>
    <rPh sb="12" eb="13">
      <t>ガン</t>
    </rPh>
    <rPh sb="13" eb="15">
      <t>ネンド</t>
    </rPh>
    <rPh sb="16" eb="18">
      <t>レイワ</t>
    </rPh>
    <rPh sb="19" eb="21">
      <t>ネンド</t>
    </rPh>
    <phoneticPr fontId="1"/>
  </si>
  <si>
    <t>令和３年度：５年間（平成29年度～令和３年度）</t>
    <rPh sb="0" eb="2">
      <t>レイワ</t>
    </rPh>
    <rPh sb="7" eb="9">
      <t>ネンカン</t>
    </rPh>
    <rPh sb="10" eb="12">
      <t>ヘイセイ</t>
    </rPh>
    <rPh sb="14" eb="16">
      <t>ネンド</t>
    </rPh>
    <rPh sb="17" eb="19">
      <t>レイワ</t>
    </rPh>
    <rPh sb="20" eb="22">
      <t>ネンド</t>
    </rPh>
    <phoneticPr fontId="1"/>
  </si>
  <si>
    <t>令和４年度：４年間（令和元年度～令和４年度）</t>
    <rPh sb="0" eb="2">
      <t>レイワ</t>
    </rPh>
    <rPh sb="7" eb="9">
      <t>ネンカン</t>
    </rPh>
    <rPh sb="10" eb="12">
      <t>レイワ</t>
    </rPh>
    <rPh sb="12" eb="14">
      <t>ガンネン</t>
    </rPh>
    <rPh sb="13" eb="15">
      <t>ネンド</t>
    </rPh>
    <rPh sb="16" eb="18">
      <t>レイワ</t>
    </rPh>
    <rPh sb="19" eb="21">
      <t>ネンド</t>
    </rPh>
    <phoneticPr fontId="1"/>
  </si>
  <si>
    <t>令和５年度：６年間（平成29年度～令和５年度）</t>
    <rPh sb="0" eb="2">
      <t>レイワ</t>
    </rPh>
    <rPh sb="7" eb="9">
      <t>ネンカン</t>
    </rPh>
    <rPh sb="10" eb="12">
      <t>ヘイセイ</t>
    </rPh>
    <rPh sb="14" eb="16">
      <t>ネンド</t>
    </rPh>
    <rPh sb="17" eb="19">
      <t>レイワ</t>
    </rPh>
    <rPh sb="20" eb="22">
      <t>ネンド</t>
    </rPh>
    <phoneticPr fontId="1"/>
  </si>
  <si>
    <t>33
[54.0 km]</t>
    <phoneticPr fontId="1"/>
  </si>
  <si>
    <t>R6沈下量</t>
    <rPh sb="2" eb="4">
      <t>チンカ</t>
    </rPh>
    <rPh sb="4" eb="5">
      <t>リョウ</t>
    </rPh>
    <phoneticPr fontId="1"/>
  </si>
  <si>
    <t>R6</t>
    <phoneticPr fontId="1"/>
  </si>
  <si>
    <t>Ｒ6時点最新標高</t>
    <rPh sb="2" eb="4">
      <t>ジテン</t>
    </rPh>
    <rPh sb="4" eb="6">
      <t>サイシン</t>
    </rPh>
    <rPh sb="6" eb="8">
      <t>ヒョウコウ</t>
    </rPh>
    <phoneticPr fontId="1"/>
  </si>
  <si>
    <t>39
[81.3 km]</t>
  </si>
  <si>
    <t>0.77 cm</t>
  </si>
  <si>
    <t>52
[92.1 km]</t>
  </si>
  <si>
    <t>0.42 cm</t>
  </si>
  <si>
    <t>40
[84.9 km]</t>
  </si>
  <si>
    <t>0.21 cm</t>
  </si>
  <si>
    <t>47
[82.8 km]</t>
  </si>
  <si>
    <t>0.46 cm</t>
  </si>
  <si>
    <t>48
[85.1 km]</t>
  </si>
  <si>
    <t>0.58 cm</t>
  </si>
  <si>
    <t>38
[84.5 km]</t>
  </si>
  <si>
    <t>1.15 cm</t>
  </si>
  <si>
    <t>49
[89.2 km]</t>
  </si>
  <si>
    <t>0.79 cm</t>
  </si>
  <si>
    <t>37
[91.0 km]</t>
  </si>
  <si>
    <t>0.83 cm</t>
  </si>
  <si>
    <t>35
[69.0 km]</t>
  </si>
  <si>
    <t>33
[54.0 km]</t>
  </si>
  <si>
    <t>0.63 cm</t>
  </si>
  <si>
    <t>令和６年度</t>
    <rPh sb="0" eb="2">
      <t>レイワ</t>
    </rPh>
    <rPh sb="3" eb="5">
      <t>ネンド</t>
    </rPh>
    <phoneticPr fontId="1"/>
  </si>
  <si>
    <t>R6</t>
    <phoneticPr fontId="1"/>
  </si>
  <si>
    <t>R6単年</t>
    <rPh sb="2" eb="3">
      <t>タン</t>
    </rPh>
    <rPh sb="3" eb="4">
      <t>ネン</t>
    </rPh>
    <phoneticPr fontId="1"/>
  </si>
  <si>
    <t>2年累積</t>
    <phoneticPr fontId="1"/>
  </si>
  <si>
    <t xml:space="preserve"> 4年累積</t>
    <phoneticPr fontId="1"/>
  </si>
  <si>
    <t xml:space="preserve"> 3年累積</t>
    <phoneticPr fontId="1"/>
  </si>
  <si>
    <t xml:space="preserve"> 2年累積</t>
    <rPh sb="2" eb="3">
      <t>ネン</t>
    </rPh>
    <rPh sb="3" eb="5">
      <t>ルイセキ</t>
    </rPh>
    <phoneticPr fontId="1"/>
  </si>
  <si>
    <t>移設/値付</t>
    <rPh sb="0" eb="2">
      <t>イセツ</t>
    </rPh>
    <rPh sb="3" eb="5">
      <t>アタイヅ</t>
    </rPh>
    <phoneticPr fontId="1"/>
  </si>
  <si>
    <t>R5移設/値付</t>
    <rPh sb="2" eb="4">
      <t>イセツ</t>
    </rPh>
    <rPh sb="5" eb="7">
      <t>アタイヅ</t>
    </rPh>
    <phoneticPr fontId="1"/>
  </si>
  <si>
    <t>0.25cm</t>
    <phoneticPr fontId="1"/>
  </si>
  <si>
    <t>75-03
北）新川西１条２丁目</t>
    <rPh sb="6" eb="7">
      <t>キタ</t>
    </rPh>
    <rPh sb="8" eb="10">
      <t>シンカワ</t>
    </rPh>
    <rPh sb="10" eb="11">
      <t>ニシ</t>
    </rPh>
    <rPh sb="12" eb="13">
      <t>ジョウ</t>
    </rPh>
    <rPh sb="14" eb="16">
      <t>チョウメ</t>
    </rPh>
    <phoneticPr fontId="1"/>
  </si>
  <si>
    <t>8416
北）太平５条１丁目</t>
    <rPh sb="5" eb="6">
      <t>キタ</t>
    </rPh>
    <phoneticPr fontId="1"/>
  </si>
  <si>
    <t>20
[○ km]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</si>
</sst>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00"/>
    <numFmt numFmtId="177" formatCode="0.0000_);[Red]\(0.0000\)"/>
    <numFmt numFmtId="178" formatCode="&quot;H&quot;0"/>
    <numFmt numFmtId="179" formatCode="&quot;R&quot;0"/>
    <numFmt numFmtId="180" formatCode="#,##0.0"/>
    <numFmt numFmtId="181" formatCode="0&quot;年&quot;"/>
    <numFmt numFmtId="182" formatCode="0.0;\-0.0"/>
    <numFmt numFmtId="183" formatCode="0.0"/>
    <numFmt numFmtId="184" formatCode="0.0;[Red]\-0.0"/>
    <numFmt numFmtId="185" formatCode="0;[Red]\-0"/>
    <numFmt numFmtId="186" formatCode="0_);[Red]\(0\)"/>
    <numFmt numFmtId="187" formatCode="0.0000\ "/>
    <numFmt numFmtId="188" formatCode="0_ 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2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Terminal"/>
      <charset val="128"/>
    </font>
    <font>
      <sz val="10"/>
      <name val="明朝"/>
      <family val="1"/>
      <charset val="128"/>
    </font>
    <font>
      <sz val="10"/>
      <name val="ＭＳ Ｐゴシック"/>
      <family val="1"/>
      <charset val="128"/>
    </font>
    <font>
      <sz val="20"/>
      <name val="ＭＳ Ｐゴシック"/>
      <family val="1"/>
      <charset val="128"/>
    </font>
    <font>
      <sz val="10"/>
      <name val="ＭＳ 明朝"/>
      <family val="1"/>
      <charset val="128"/>
    </font>
    <font>
      <sz val="2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0DD7F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>
      <alignment vertical="center"/>
    </xf>
  </cellStyleXfs>
  <cellXfs count="7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shrinkToFi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176" fontId="3" fillId="0" borderId="36" xfId="0" applyNumberFormat="1" applyFont="1" applyFill="1" applyBorder="1" applyAlignment="1" applyProtection="1">
      <alignment vertical="center" shrinkToFit="1"/>
    </xf>
    <xf numFmtId="176" fontId="3" fillId="0" borderId="36" xfId="1" applyNumberFormat="1" applyFont="1" applyFill="1" applyBorder="1" applyAlignment="1" applyProtection="1">
      <alignment vertical="center"/>
    </xf>
    <xf numFmtId="176" fontId="3" fillId="0" borderId="36" xfId="0" applyNumberFormat="1" applyFont="1" applyFill="1" applyBorder="1" applyAlignment="1" applyProtection="1">
      <alignment shrinkToFit="1"/>
    </xf>
    <xf numFmtId="176" fontId="3" fillId="0" borderId="37" xfId="0" applyNumberFormat="1" applyFont="1" applyFill="1" applyBorder="1" applyAlignment="1" applyProtection="1">
      <alignment vertical="center" shrinkToFit="1"/>
    </xf>
    <xf numFmtId="176" fontId="3" fillId="0" borderId="38" xfId="0" applyNumberFormat="1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76" fontId="3" fillId="2" borderId="42" xfId="0" applyNumberFormat="1" applyFont="1" applyFill="1" applyBorder="1" applyAlignment="1" applyProtection="1">
      <alignment horizontal="right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176" fontId="3" fillId="2" borderId="43" xfId="0" applyNumberFormat="1" applyFont="1" applyFill="1" applyBorder="1" applyAlignment="1" applyProtection="1">
      <alignment horizontal="right" vertical="center"/>
    </xf>
    <xf numFmtId="0" fontId="3" fillId="2" borderId="40" xfId="0" applyNumberFormat="1" applyFont="1" applyFill="1" applyBorder="1" applyAlignment="1" applyProtection="1">
      <alignment horizontal="center" vertical="center"/>
    </xf>
    <xf numFmtId="176" fontId="3" fillId="2" borderId="44" xfId="0" applyNumberFormat="1" applyFont="1" applyFill="1" applyBorder="1" applyAlignment="1" applyProtection="1">
      <alignment horizontal="right" vertical="center"/>
    </xf>
    <xf numFmtId="176" fontId="3" fillId="0" borderId="43" xfId="0" applyNumberFormat="1" applyFont="1" applyFill="1" applyBorder="1" applyAlignment="1" applyProtection="1">
      <alignment horizontal="right" vertical="center" shrinkToFit="1"/>
    </xf>
    <xf numFmtId="176" fontId="3" fillId="0" borderId="43" xfId="1" applyNumberFormat="1" applyFont="1" applyFill="1" applyBorder="1" applyAlignment="1" applyProtection="1">
      <alignment horizontal="right" vertical="center"/>
    </xf>
    <xf numFmtId="176" fontId="3" fillId="0" borderId="44" xfId="0" applyNumberFormat="1" applyFont="1" applyFill="1" applyBorder="1" applyAlignment="1" applyProtection="1">
      <alignment horizontal="right" vertical="center" shrinkToFit="1"/>
    </xf>
    <xf numFmtId="0" fontId="3" fillId="3" borderId="41" xfId="0" applyNumberFormat="1" applyFont="1" applyFill="1" applyBorder="1" applyAlignment="1" applyProtection="1">
      <alignment horizontal="centerContinuous" vertical="top" wrapText="1"/>
    </xf>
    <xf numFmtId="176" fontId="3" fillId="3" borderId="41" xfId="0" applyNumberFormat="1" applyFont="1" applyFill="1" applyBorder="1" applyAlignment="1" applyProtection="1">
      <alignment horizontal="centerContinuous" vertical="top"/>
    </xf>
    <xf numFmtId="176" fontId="3" fillId="6" borderId="14" xfId="0" applyNumberFormat="1" applyFont="1" applyFill="1" applyBorder="1" applyAlignment="1" applyProtection="1">
      <alignment horizontal="right" vertical="center" shrinkToFit="1"/>
    </xf>
    <xf numFmtId="176" fontId="3" fillId="6" borderId="7" xfId="0" applyNumberFormat="1" applyFont="1" applyFill="1" applyBorder="1" applyAlignment="1" applyProtection="1">
      <alignment horizontal="right" vertical="center" shrinkToFit="1"/>
    </xf>
    <xf numFmtId="176" fontId="3" fillId="6" borderId="13" xfId="0" applyNumberFormat="1" applyFont="1" applyFill="1" applyBorder="1" applyAlignment="1" applyProtection="1">
      <alignment horizontal="right" vertical="center" shrinkToFit="1"/>
    </xf>
    <xf numFmtId="176" fontId="3" fillId="6" borderId="14" xfId="1" applyNumberFormat="1" applyFont="1" applyFill="1" applyBorder="1" applyAlignment="1" applyProtection="1">
      <alignment horizontal="right" vertical="center"/>
    </xf>
    <xf numFmtId="176" fontId="3" fillId="6" borderId="7" xfId="1" applyNumberFormat="1" applyFont="1" applyFill="1" applyBorder="1" applyAlignment="1" applyProtection="1">
      <alignment horizontal="right" vertical="center"/>
    </xf>
    <xf numFmtId="176" fontId="3" fillId="6" borderId="13" xfId="1" applyNumberFormat="1" applyFont="1" applyFill="1" applyBorder="1" applyAlignment="1" applyProtection="1">
      <alignment horizontal="right" vertical="center"/>
    </xf>
    <xf numFmtId="176" fontId="3" fillId="6" borderId="14" xfId="0" applyNumberFormat="1" applyFont="1" applyFill="1" applyBorder="1" applyAlignment="1" applyProtection="1">
      <alignment horizontal="right" shrinkToFit="1"/>
    </xf>
    <xf numFmtId="176" fontId="3" fillId="6" borderId="7" xfId="0" applyNumberFormat="1" applyFont="1" applyFill="1" applyBorder="1" applyAlignment="1" applyProtection="1">
      <alignment horizontal="right" shrinkToFit="1"/>
    </xf>
    <xf numFmtId="176" fontId="3" fillId="6" borderId="13" xfId="0" applyNumberFormat="1" applyFont="1" applyFill="1" applyBorder="1" applyAlignment="1" applyProtection="1">
      <alignment horizontal="right" shrinkToFit="1"/>
    </xf>
    <xf numFmtId="176" fontId="3" fillId="6" borderId="19" xfId="0" applyNumberFormat="1" applyFont="1" applyFill="1" applyBorder="1" applyAlignment="1" applyProtection="1">
      <alignment horizontal="right" vertical="center" shrinkToFit="1"/>
    </xf>
    <xf numFmtId="176" fontId="3" fillId="6" borderId="27" xfId="0" applyNumberFormat="1" applyFont="1" applyFill="1" applyBorder="1" applyAlignment="1" applyProtection="1">
      <alignment horizontal="right" vertical="center" shrinkToFit="1"/>
    </xf>
    <xf numFmtId="176" fontId="3" fillId="6" borderId="29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2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 shrinkToFit="1"/>
    </xf>
    <xf numFmtId="0" fontId="3" fillId="0" borderId="11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29" xfId="0" applyFont="1" applyFill="1" applyBorder="1" applyAlignment="1" applyProtection="1">
      <alignment vertical="center" shrinkToFit="1"/>
    </xf>
    <xf numFmtId="0" fontId="3" fillId="0" borderId="0" xfId="0" applyFont="1" applyFill="1" applyAlignment="1">
      <alignment vertical="center" shrinkToFit="1"/>
    </xf>
    <xf numFmtId="178" fontId="3" fillId="0" borderId="39" xfId="0" applyNumberFormat="1" applyFont="1" applyFill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center" vertical="center"/>
    </xf>
    <xf numFmtId="178" fontId="3" fillId="0" borderId="6" xfId="1" applyNumberFormat="1" applyFont="1" applyFill="1" applyBorder="1" applyAlignment="1" applyProtection="1">
      <alignment horizontal="center" vertical="center"/>
    </xf>
    <xf numFmtId="178" fontId="3" fillId="0" borderId="40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>
      <alignment vertical="center"/>
    </xf>
    <xf numFmtId="178" fontId="3" fillId="0" borderId="45" xfId="0" applyNumberFormat="1" applyFont="1" applyFill="1" applyBorder="1" applyAlignment="1" applyProtection="1">
      <alignment horizontal="center" vertical="center"/>
    </xf>
    <xf numFmtId="178" fontId="3" fillId="0" borderId="46" xfId="0" applyNumberFormat="1" applyFont="1" applyFill="1" applyBorder="1" applyAlignment="1" applyProtection="1">
      <alignment horizontal="center" vertical="center"/>
    </xf>
    <xf numFmtId="178" fontId="3" fillId="0" borderId="46" xfId="1" applyNumberFormat="1" applyFont="1" applyFill="1" applyBorder="1" applyAlignment="1" applyProtection="1">
      <alignment horizontal="center" vertical="center"/>
    </xf>
    <xf numFmtId="178" fontId="3" fillId="0" borderId="48" xfId="0" applyNumberFormat="1" applyFont="1" applyFill="1" applyBorder="1" applyAlignment="1" applyProtection="1">
      <alignment horizontal="center" vertical="center"/>
    </xf>
    <xf numFmtId="178" fontId="3" fillId="0" borderId="47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36" xfId="0" applyNumberFormat="1" applyFont="1" applyFill="1" applyBorder="1" applyAlignment="1" applyProtection="1">
      <alignment horizontal="right" shrinkToFit="1"/>
    </xf>
    <xf numFmtId="180" fontId="3" fillId="0" borderId="36" xfId="0" applyNumberFormat="1" applyFont="1" applyFill="1" applyBorder="1" applyAlignment="1" applyProtection="1">
      <alignment horizontal="right" vertical="center" shrinkToFit="1"/>
    </xf>
    <xf numFmtId="180" fontId="3" fillId="0" borderId="36" xfId="1" applyNumberFormat="1" applyFont="1" applyFill="1" applyBorder="1" applyAlignment="1" applyProtection="1">
      <alignment horizontal="right" vertical="center"/>
    </xf>
    <xf numFmtId="180" fontId="3" fillId="0" borderId="37" xfId="0" applyNumberFormat="1" applyFont="1" applyFill="1" applyBorder="1" applyAlignment="1" applyProtection="1">
      <alignment horizontal="right" vertical="center" shrinkToFit="1"/>
    </xf>
    <xf numFmtId="180" fontId="3" fillId="0" borderId="38" xfId="0" applyNumberFormat="1" applyFont="1" applyFill="1" applyBorder="1" applyAlignment="1" applyProtection="1">
      <alignment horizontal="right" vertical="center" shrinkToFit="1"/>
    </xf>
    <xf numFmtId="181" fontId="3" fillId="0" borderId="0" xfId="0" applyNumberFormat="1" applyFont="1" applyFill="1" applyAlignment="1">
      <alignment vertical="center"/>
    </xf>
    <xf numFmtId="181" fontId="3" fillId="0" borderId="46" xfId="0" applyNumberFormat="1" applyFont="1" applyFill="1" applyBorder="1" applyAlignment="1" applyProtection="1">
      <alignment horizontal="center" vertical="center"/>
    </xf>
    <xf numFmtId="181" fontId="3" fillId="0" borderId="46" xfId="1" applyNumberFormat="1" applyFont="1" applyFill="1" applyBorder="1" applyAlignment="1" applyProtection="1">
      <alignment horizontal="center" vertical="center"/>
    </xf>
    <xf numFmtId="181" fontId="3" fillId="0" borderId="47" xfId="0" applyNumberFormat="1" applyFont="1" applyFill="1" applyBorder="1" applyAlignment="1" applyProtection="1">
      <alignment horizontal="center" vertical="center"/>
    </xf>
    <xf numFmtId="181" fontId="3" fillId="0" borderId="4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49" fontId="7" fillId="0" borderId="5" xfId="1" applyNumberFormat="1" applyFont="1" applyFill="1" applyBorder="1" applyAlignment="1" applyProtection="1">
      <alignment horizontal="center" vertical="center" shrinkToFit="1"/>
    </xf>
    <xf numFmtId="0" fontId="7" fillId="0" borderId="50" xfId="0" applyFont="1" applyFill="1" applyBorder="1" applyAlignment="1" applyProtection="1">
      <alignment horizontal="center" vertical="center" shrinkToFit="1"/>
    </xf>
    <xf numFmtId="0" fontId="7" fillId="0" borderId="50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51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wrapText="1" shrinkToFit="1"/>
    </xf>
    <xf numFmtId="182" fontId="7" fillId="0" borderId="12" xfId="0" applyNumberFormat="1" applyFont="1" applyFill="1" applyBorder="1" applyAlignment="1" applyProtection="1">
      <alignment vertical="center" shrinkToFit="1"/>
    </xf>
    <xf numFmtId="182" fontId="7" fillId="0" borderId="17" xfId="0" applyNumberFormat="1" applyFont="1" applyFill="1" applyBorder="1" applyAlignment="1" applyProtection="1">
      <alignment vertical="center" shrinkToFit="1"/>
    </xf>
    <xf numFmtId="182" fontId="7" fillId="0" borderId="5" xfId="0" applyNumberFormat="1" applyFont="1" applyFill="1" applyBorder="1" applyAlignment="1" applyProtection="1">
      <alignment vertical="center" shrinkToFit="1"/>
    </xf>
    <xf numFmtId="182" fontId="7" fillId="0" borderId="4" xfId="0" applyNumberFormat="1" applyFont="1" applyFill="1" applyBorder="1" applyAlignment="1" applyProtection="1">
      <alignment vertical="center" shrinkToFit="1"/>
    </xf>
    <xf numFmtId="182" fontId="7" fillId="0" borderId="11" xfId="0" applyNumberFormat="1" applyFont="1" applyFill="1" applyBorder="1" applyAlignment="1" applyProtection="1">
      <alignment vertical="center" shrinkToFit="1"/>
    </xf>
    <xf numFmtId="182" fontId="7" fillId="0" borderId="7" xfId="0" applyNumberFormat="1" applyFont="1" applyFill="1" applyBorder="1" applyAlignment="1" applyProtection="1">
      <alignment vertical="center" shrinkToFit="1"/>
    </xf>
    <xf numFmtId="182" fontId="7" fillId="0" borderId="33" xfId="0" applyNumberFormat="1" applyFont="1" applyFill="1" applyBorder="1" applyAlignment="1" applyProtection="1">
      <alignment vertical="center" shrinkToFit="1"/>
    </xf>
    <xf numFmtId="182" fontId="7" fillId="0" borderId="34" xfId="0" applyNumberFormat="1" applyFont="1" applyFill="1" applyBorder="1" applyAlignment="1" applyProtection="1">
      <alignment vertical="center" shrinkToFit="1"/>
    </xf>
    <xf numFmtId="182" fontId="7" fillId="0" borderId="4" xfId="0" applyNumberFormat="1" applyFont="1" applyFill="1" applyBorder="1" applyAlignment="1" applyProtection="1">
      <alignment horizontal="center" vertical="center" shrinkToFit="1"/>
    </xf>
    <xf numFmtId="182" fontId="7" fillId="0" borderId="17" xfId="0" applyNumberFormat="1" applyFont="1" applyFill="1" applyBorder="1" applyAlignment="1" applyProtection="1">
      <alignment vertical="center"/>
    </xf>
    <xf numFmtId="182" fontId="8" fillId="0" borderId="17" xfId="0" applyNumberFormat="1" applyFont="1" applyFill="1" applyBorder="1" applyAlignment="1" applyProtection="1">
      <alignment vertical="center" shrinkToFit="1"/>
    </xf>
    <xf numFmtId="182" fontId="7" fillId="0" borderId="7" xfId="0" applyNumberFormat="1" applyFont="1" applyFill="1" applyBorder="1" applyAlignment="1" applyProtection="1">
      <alignment horizontal="right" vertical="center" shrinkToFit="1"/>
    </xf>
    <xf numFmtId="182" fontId="7" fillId="0" borderId="11" xfId="0" applyNumberFormat="1" applyFont="1" applyFill="1" applyBorder="1" applyAlignment="1" applyProtection="1">
      <alignment horizontal="right" vertical="center" shrinkToFit="1"/>
    </xf>
    <xf numFmtId="182" fontId="7" fillId="0" borderId="17" xfId="0" applyNumberFormat="1" applyFont="1" applyFill="1" applyBorder="1" applyAlignment="1" applyProtection="1">
      <alignment horizontal="right" vertical="center" shrinkToFit="1"/>
    </xf>
    <xf numFmtId="182" fontId="7" fillId="0" borderId="17" xfId="0" applyNumberFormat="1" applyFont="1" applyFill="1" applyBorder="1" applyAlignment="1" applyProtection="1">
      <alignment horizontal="center" vertical="center" shrinkToFit="1"/>
    </xf>
    <xf numFmtId="182" fontId="7" fillId="0" borderId="5" xfId="0" applyNumberFormat="1" applyFont="1" applyFill="1" applyBorder="1" applyAlignment="1" applyProtection="1">
      <alignment horizontal="center" vertical="center" shrinkToFit="1"/>
    </xf>
    <xf numFmtId="182" fontId="7" fillId="0" borderId="34" xfId="0" applyNumberFormat="1" applyFont="1" applyFill="1" applyBorder="1" applyAlignment="1" applyProtection="1">
      <alignment horizontal="center" vertical="center" shrinkToFit="1"/>
    </xf>
    <xf numFmtId="182" fontId="7" fillId="0" borderId="7" xfId="0" applyNumberFormat="1" applyFont="1" applyFill="1" applyBorder="1" applyAlignment="1" applyProtection="1">
      <alignment horizontal="center" vertical="center" shrinkToFit="1"/>
    </xf>
    <xf numFmtId="182" fontId="7" fillId="0" borderId="11" xfId="0" applyNumberFormat="1" applyFont="1" applyFill="1" applyBorder="1" applyAlignment="1" applyProtection="1">
      <alignment horizontal="center" vertical="center" shrinkToFit="1"/>
    </xf>
    <xf numFmtId="182" fontId="7" fillId="0" borderId="12" xfId="0" applyNumberFormat="1" applyFont="1" applyFill="1" applyBorder="1" applyAlignment="1" applyProtection="1">
      <alignment horizontal="center" vertical="center" shrinkToFit="1"/>
    </xf>
    <xf numFmtId="182" fontId="7" fillId="0" borderId="13" xfId="0" applyNumberFormat="1" applyFont="1" applyFill="1" applyBorder="1" applyAlignment="1" applyProtection="1">
      <alignment vertical="center" shrinkToFit="1"/>
    </xf>
    <xf numFmtId="182" fontId="7" fillId="0" borderId="36" xfId="0" applyNumberFormat="1" applyFont="1" applyFill="1" applyBorder="1" applyAlignment="1" applyProtection="1">
      <alignment vertical="center" shrinkToFit="1"/>
    </xf>
    <xf numFmtId="0" fontId="10" fillId="0" borderId="23" xfId="2" applyFont="1" applyBorder="1" applyAlignment="1" applyProtection="1">
      <alignment horizontal="left"/>
    </xf>
    <xf numFmtId="49" fontId="10" fillId="0" borderId="23" xfId="2" applyNumberFormat="1" applyFont="1" applyBorder="1" applyAlignment="1" applyProtection="1">
      <alignment horizontal="left"/>
    </xf>
    <xf numFmtId="0" fontId="10" fillId="0" borderId="23" xfId="2" applyFont="1" applyBorder="1"/>
    <xf numFmtId="0" fontId="10" fillId="0" borderId="23" xfId="2" applyFont="1" applyBorder="1" applyProtection="1"/>
    <xf numFmtId="0" fontId="10" fillId="0" borderId="23" xfId="2" applyFont="1" applyBorder="1" applyAlignment="1" applyProtection="1">
      <alignment horizontal="right"/>
    </xf>
    <xf numFmtId="0" fontId="10" fillId="0" borderId="23" xfId="2" applyFont="1" applyBorder="1" applyAlignment="1" applyProtection="1">
      <alignment horizontal="center"/>
    </xf>
    <xf numFmtId="0" fontId="10" fillId="0" borderId="52" xfId="2" applyFont="1" applyBorder="1"/>
    <xf numFmtId="0" fontId="10" fillId="0" borderId="7" xfId="2" applyFont="1" applyBorder="1" applyAlignment="1" applyProtection="1">
      <alignment horizontal="left"/>
    </xf>
    <xf numFmtId="0" fontId="9" fillId="0" borderId="52" xfId="2" applyBorder="1"/>
    <xf numFmtId="0" fontId="9" fillId="0" borderId="0" xfId="2"/>
    <xf numFmtId="0" fontId="10" fillId="0" borderId="53" xfId="2" applyFont="1" applyBorder="1"/>
    <xf numFmtId="183" fontId="10" fillId="0" borderId="23" xfId="2" applyNumberFormat="1" applyFont="1" applyBorder="1" applyProtection="1"/>
    <xf numFmtId="183" fontId="10" fillId="0" borderId="53" xfId="2" applyNumberFormat="1" applyFont="1" applyBorder="1" applyProtection="1"/>
    <xf numFmtId="176" fontId="10" fillId="0" borderId="23" xfId="2" applyNumberFormat="1" applyFont="1" applyBorder="1" applyProtection="1"/>
    <xf numFmtId="183" fontId="10" fillId="0" borderId="7" xfId="2" applyNumberFormat="1" applyFont="1" applyBorder="1" applyProtection="1"/>
    <xf numFmtId="183" fontId="10" fillId="0" borderId="23" xfId="2" applyNumberFormat="1" applyFont="1" applyBorder="1" applyAlignment="1" applyProtection="1">
      <alignment horizontal="left"/>
    </xf>
    <xf numFmtId="183" fontId="10" fillId="0" borderId="53" xfId="2" applyNumberFormat="1" applyFont="1" applyBorder="1" applyAlignment="1" applyProtection="1">
      <alignment horizontal="left"/>
    </xf>
    <xf numFmtId="0" fontId="10" fillId="0" borderId="53" xfId="2" applyFont="1" applyBorder="1" applyProtection="1"/>
    <xf numFmtId="0" fontId="10" fillId="0" borderId="53" xfId="2" applyFont="1" applyBorder="1" applyAlignment="1" applyProtection="1">
      <alignment horizontal="left"/>
    </xf>
    <xf numFmtId="0" fontId="10" fillId="0" borderId="0" xfId="2" applyFont="1"/>
    <xf numFmtId="49" fontId="10" fillId="0" borderId="0" xfId="2" applyNumberFormat="1" applyFont="1" applyProtection="1"/>
    <xf numFmtId="183" fontId="10" fillId="0" borderId="0" xfId="2" applyNumberFormat="1" applyFont="1" applyProtection="1"/>
    <xf numFmtId="176" fontId="10" fillId="0" borderId="0" xfId="2" applyNumberFormat="1" applyFont="1" applyProtection="1"/>
    <xf numFmtId="49" fontId="10" fillId="0" borderId="0" xfId="2" applyNumberFormat="1" applyFont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0" fillId="0" borderId="0" xfId="0" applyProtection="1"/>
    <xf numFmtId="183" fontId="13" fillId="0" borderId="0" xfId="0" applyNumberFormat="1" applyFont="1"/>
    <xf numFmtId="0" fontId="13" fillId="0" borderId="0" xfId="0" applyFont="1"/>
    <xf numFmtId="0" fontId="11" fillId="0" borderId="54" xfId="0" applyFont="1" applyBorder="1" applyProtection="1"/>
    <xf numFmtId="0" fontId="11" fillId="0" borderId="54" xfId="0" applyFont="1" applyBorder="1" applyAlignment="1" applyProtection="1">
      <alignment horizontal="center"/>
    </xf>
    <xf numFmtId="0" fontId="11" fillId="0" borderId="54" xfId="0" applyFont="1" applyBorder="1" applyAlignment="1" applyProtection="1">
      <alignment horizontal="right"/>
    </xf>
    <xf numFmtId="0" fontId="11" fillId="0" borderId="55" xfId="0" applyFont="1" applyBorder="1" applyProtection="1"/>
    <xf numFmtId="0" fontId="11" fillId="0" borderId="56" xfId="0" applyFont="1" applyBorder="1" applyProtection="1"/>
    <xf numFmtId="183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55" xfId="0" applyFont="1" applyBorder="1" applyAlignment="1" applyProtection="1">
      <alignment horizontal="center"/>
    </xf>
    <xf numFmtId="0" fontId="11" fillId="0" borderId="57" xfId="0" applyFont="1" applyBorder="1" applyProtection="1"/>
    <xf numFmtId="183" fontId="11" fillId="0" borderId="55" xfId="0" applyNumberFormat="1" applyFont="1" applyBorder="1" applyProtection="1"/>
    <xf numFmtId="183" fontId="11" fillId="0" borderId="56" xfId="0" applyNumberFormat="1" applyFont="1" applyBorder="1" applyProtection="1"/>
    <xf numFmtId="176" fontId="11" fillId="0" borderId="55" xfId="0" applyNumberFormat="1" applyFont="1" applyBorder="1" applyProtection="1"/>
    <xf numFmtId="183" fontId="11" fillId="0" borderId="54" xfId="0" applyNumberFormat="1" applyFont="1" applyBorder="1" applyProtection="1"/>
    <xf numFmtId="183" fontId="13" fillId="0" borderId="7" xfId="0" applyNumberFormat="1" applyFont="1" applyBorder="1"/>
    <xf numFmtId="0" fontId="13" fillId="0" borderId="7" xfId="0" applyFont="1" applyBorder="1"/>
    <xf numFmtId="183" fontId="0" fillId="0" borderId="0" xfId="0" applyNumberFormat="1"/>
    <xf numFmtId="183" fontId="11" fillId="0" borderId="57" xfId="0" applyNumberFormat="1" applyFont="1" applyBorder="1" applyProtection="1"/>
    <xf numFmtId="183" fontId="11" fillId="0" borderId="55" xfId="0" applyNumberFormat="1" applyFont="1" applyBorder="1" applyAlignment="1" applyProtection="1">
      <alignment horizontal="center"/>
    </xf>
    <xf numFmtId="183" fontId="11" fillId="7" borderId="55" xfId="0" applyNumberFormat="1" applyFont="1" applyFill="1" applyBorder="1" applyProtection="1"/>
    <xf numFmtId="183" fontId="11" fillId="0" borderId="0" xfId="0" applyNumberFormat="1" applyFont="1" applyProtection="1"/>
    <xf numFmtId="176" fontId="11" fillId="0" borderId="0" xfId="0" applyNumberFormat="1" applyFont="1" applyProtection="1"/>
    <xf numFmtId="0" fontId="0" fillId="0" borderId="0" xfId="0" applyAlignment="1">
      <alignment horizontal="center"/>
    </xf>
    <xf numFmtId="0" fontId="14" fillId="0" borderId="0" xfId="0" applyFont="1"/>
    <xf numFmtId="177" fontId="0" fillId="0" borderId="0" xfId="0" applyNumberFormat="1" applyAlignment="1"/>
    <xf numFmtId="177" fontId="11" fillId="0" borderId="54" xfId="0" applyNumberFormat="1" applyFont="1" applyBorder="1" applyAlignment="1" applyProtection="1"/>
    <xf numFmtId="0" fontId="11" fillId="0" borderId="56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right"/>
    </xf>
    <xf numFmtId="177" fontId="11" fillId="0" borderId="56" xfId="0" applyNumberFormat="1" applyFont="1" applyBorder="1" applyAlignment="1" applyProtection="1"/>
    <xf numFmtId="183" fontId="13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0" xfId="0" applyBorder="1"/>
    <xf numFmtId="0" fontId="11" fillId="0" borderId="58" xfId="0" applyFont="1" applyBorder="1" applyProtection="1"/>
    <xf numFmtId="177" fontId="11" fillId="0" borderId="58" xfId="0" applyNumberFormat="1" applyFont="1" applyBorder="1" applyAlignment="1" applyProtection="1"/>
    <xf numFmtId="183" fontId="11" fillId="0" borderId="58" xfId="0" applyNumberFormat="1" applyFont="1" applyBorder="1" applyProtection="1"/>
    <xf numFmtId="177" fontId="11" fillId="0" borderId="55" xfId="0" applyNumberFormat="1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183" fontId="11" fillId="0" borderId="0" xfId="0" applyNumberFormat="1" applyFont="1" applyBorder="1" applyProtection="1"/>
    <xf numFmtId="177" fontId="11" fillId="0" borderId="0" xfId="0" applyNumberFormat="1" applyFont="1" applyBorder="1" applyAlignment="1" applyProtection="1"/>
    <xf numFmtId="183" fontId="13" fillId="0" borderId="0" xfId="0" applyNumberFormat="1" applyFont="1" applyBorder="1"/>
    <xf numFmtId="0" fontId="13" fillId="0" borderId="0" xfId="0" applyFont="1" applyBorder="1"/>
    <xf numFmtId="0" fontId="7" fillId="2" borderId="51" xfId="0" applyFont="1" applyFill="1" applyBorder="1" applyAlignment="1" applyProtection="1">
      <alignment horizontal="center" vertical="center" shrinkToFit="1"/>
    </xf>
    <xf numFmtId="49" fontId="7" fillId="2" borderId="5" xfId="0" applyNumberFormat="1" applyFont="1" applyFill="1" applyBorder="1" applyAlignment="1" applyProtection="1">
      <alignment horizontal="center" vertical="center" shrinkToFit="1"/>
    </xf>
    <xf numFmtId="0" fontId="7" fillId="2" borderId="50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vertical="center" shrinkToFit="1"/>
    </xf>
    <xf numFmtId="0" fontId="7" fillId="2" borderId="5" xfId="0" applyFont="1" applyFill="1" applyBorder="1" applyAlignment="1" applyProtection="1">
      <alignment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182" fontId="7" fillId="2" borderId="33" xfId="0" applyNumberFormat="1" applyFont="1" applyFill="1" applyBorder="1" applyAlignment="1" applyProtection="1">
      <alignment vertical="center" shrinkToFit="1"/>
    </xf>
    <xf numFmtId="182" fontId="7" fillId="2" borderId="4" xfId="0" applyNumberFormat="1" applyFont="1" applyFill="1" applyBorder="1" applyAlignment="1" applyProtection="1">
      <alignment vertical="center" shrinkToFit="1"/>
    </xf>
    <xf numFmtId="182" fontId="7" fillId="2" borderId="34" xfId="0" applyNumberFormat="1" applyFont="1" applyFill="1" applyBorder="1" applyAlignment="1" applyProtection="1">
      <alignment vertical="center" shrinkToFit="1"/>
    </xf>
    <xf numFmtId="182" fontId="7" fillId="2" borderId="5" xfId="0" applyNumberFormat="1" applyFont="1" applyFill="1" applyBorder="1" applyAlignment="1" applyProtection="1">
      <alignment vertical="center" shrinkToFit="1"/>
    </xf>
    <xf numFmtId="182" fontId="7" fillId="2" borderId="11" xfId="0" applyNumberFormat="1" applyFont="1" applyFill="1" applyBorder="1" applyAlignment="1" applyProtection="1">
      <alignment vertical="center" shrinkToFit="1"/>
    </xf>
    <xf numFmtId="182" fontId="7" fillId="2" borderId="7" xfId="0" applyNumberFormat="1" applyFont="1" applyFill="1" applyBorder="1" applyAlignment="1" applyProtection="1">
      <alignment vertical="center" shrinkToFit="1"/>
    </xf>
    <xf numFmtId="182" fontId="7" fillId="2" borderId="11" xfId="0" applyNumberFormat="1" applyFont="1" applyFill="1" applyBorder="1" applyAlignment="1" applyProtection="1">
      <alignment horizontal="center" vertical="center" shrinkToFit="1"/>
    </xf>
    <xf numFmtId="182" fontId="7" fillId="2" borderId="17" xfId="0" applyNumberFormat="1" applyFont="1" applyFill="1" applyBorder="1" applyAlignment="1" applyProtection="1">
      <alignment vertical="center" shrinkToFit="1"/>
    </xf>
    <xf numFmtId="182" fontId="7" fillId="2" borderId="12" xfId="0" applyNumberFormat="1" applyFont="1" applyFill="1" applyBorder="1" applyAlignment="1" applyProtection="1">
      <alignment vertical="center" shrinkToFit="1"/>
    </xf>
    <xf numFmtId="182" fontId="7" fillId="2" borderId="36" xfId="0" applyNumberFormat="1" applyFont="1" applyFill="1" applyBorder="1" applyAlignment="1" applyProtection="1">
      <alignment vertical="center" shrinkToFit="1"/>
    </xf>
    <xf numFmtId="0" fontId="6" fillId="2" borderId="0" xfId="0" applyFont="1" applyFill="1" applyBorder="1" applyAlignment="1">
      <alignment vertical="center"/>
    </xf>
    <xf numFmtId="182" fontId="7" fillId="2" borderId="17" xfId="0" applyNumberFormat="1" applyFont="1" applyFill="1" applyBorder="1" applyAlignment="1" applyProtection="1">
      <alignment horizontal="center" vertical="center" shrinkToFit="1"/>
    </xf>
    <xf numFmtId="182" fontId="7" fillId="2" borderId="5" xfId="0" applyNumberFormat="1" applyFont="1" applyFill="1" applyBorder="1" applyAlignment="1" applyProtection="1">
      <alignment horizontal="center" vertical="center" shrinkToFit="1"/>
    </xf>
    <xf numFmtId="182" fontId="7" fillId="2" borderId="17" xfId="0" applyNumberFormat="1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Continuous" vertical="top"/>
    </xf>
    <xf numFmtId="176" fontId="3" fillId="3" borderId="60" xfId="0" applyNumberFormat="1" applyFont="1" applyFill="1" applyBorder="1" applyAlignment="1" applyProtection="1">
      <alignment horizontal="centerContinuous" vertical="top"/>
    </xf>
    <xf numFmtId="0" fontId="3" fillId="3" borderId="61" xfId="0" applyFont="1" applyFill="1" applyBorder="1" applyAlignment="1" applyProtection="1">
      <alignment horizontal="centerContinuous" vertical="top"/>
    </xf>
    <xf numFmtId="176" fontId="3" fillId="3" borderId="59" xfId="0" applyNumberFormat="1" applyFont="1" applyFill="1" applyBorder="1" applyAlignment="1" applyProtection="1">
      <alignment horizontal="centerContinuous" vertical="top"/>
    </xf>
    <xf numFmtId="176" fontId="3" fillId="3" borderId="63" xfId="0" applyNumberFormat="1" applyFont="1" applyFill="1" applyBorder="1" applyAlignment="1" applyProtection="1">
      <alignment horizontal="center" vertical="top"/>
    </xf>
    <xf numFmtId="179" fontId="3" fillId="3" borderId="64" xfId="0" applyNumberFormat="1" applyFont="1" applyFill="1" applyBorder="1" applyAlignment="1" applyProtection="1">
      <alignment horizontal="center" vertical="top"/>
    </xf>
    <xf numFmtId="179" fontId="3" fillId="3" borderId="65" xfId="0" applyNumberFormat="1" applyFont="1" applyFill="1" applyBorder="1" applyAlignment="1" applyProtection="1">
      <alignment horizontal="center" vertical="top"/>
    </xf>
    <xf numFmtId="1" fontId="3" fillId="3" borderId="66" xfId="0" applyNumberFormat="1" applyFont="1" applyFill="1" applyBorder="1" applyAlignment="1" applyProtection="1">
      <alignment horizontal="center" vertical="top"/>
    </xf>
    <xf numFmtId="1" fontId="3" fillId="3" borderId="67" xfId="0" applyNumberFormat="1" applyFont="1" applyFill="1" applyBorder="1" applyAlignment="1" applyProtection="1">
      <alignment horizontal="center" vertical="top"/>
    </xf>
    <xf numFmtId="1" fontId="3" fillId="3" borderId="68" xfId="0" applyNumberFormat="1" applyFont="1" applyFill="1" applyBorder="1" applyAlignment="1" applyProtection="1">
      <alignment horizontal="center" vertical="top"/>
    </xf>
    <xf numFmtId="0" fontId="3" fillId="3" borderId="76" xfId="0" applyFont="1" applyFill="1" applyBorder="1" applyAlignment="1" applyProtection="1">
      <alignment horizontal="center" vertical="center" shrinkToFit="1"/>
    </xf>
    <xf numFmtId="0" fontId="3" fillId="3" borderId="77" xfId="0" applyFont="1" applyFill="1" applyBorder="1" applyAlignment="1" applyProtection="1">
      <alignment horizontal="center" vertical="top" shrinkToFit="1"/>
    </xf>
    <xf numFmtId="49" fontId="3" fillId="3" borderId="69" xfId="0" applyNumberFormat="1" applyFont="1" applyFill="1" applyBorder="1" applyAlignment="1" applyProtection="1">
      <alignment horizontal="center" vertical="top" wrapText="1"/>
    </xf>
    <xf numFmtId="49" fontId="3" fillId="3" borderId="70" xfId="0" applyNumberFormat="1" applyFont="1" applyFill="1" applyBorder="1" applyAlignment="1" applyProtection="1">
      <alignment horizontal="center" wrapText="1"/>
    </xf>
    <xf numFmtId="181" fontId="3" fillId="4" borderId="61" xfId="0" applyNumberFormat="1" applyFont="1" applyFill="1" applyBorder="1" applyAlignment="1" applyProtection="1">
      <alignment horizontal="centerContinuous" vertical="top"/>
    </xf>
    <xf numFmtId="180" fontId="3" fillId="4" borderId="59" xfId="0" applyNumberFormat="1" applyFont="1" applyFill="1" applyBorder="1" applyAlignment="1" applyProtection="1">
      <alignment horizontal="centerContinuous" vertical="top"/>
    </xf>
    <xf numFmtId="181" fontId="3" fillId="4" borderId="62" xfId="0" applyNumberFormat="1" applyFont="1" applyFill="1" applyBorder="1" applyAlignment="1" applyProtection="1">
      <alignment horizontal="centerContinuous" vertical="top"/>
    </xf>
    <xf numFmtId="180" fontId="3" fillId="4" borderId="60" xfId="0" applyNumberFormat="1" applyFont="1" applyFill="1" applyBorder="1" applyAlignment="1" applyProtection="1">
      <alignment horizontal="centerContinuous" vertical="top"/>
    </xf>
    <xf numFmtId="182" fontId="7" fillId="0" borderId="7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top"/>
    </xf>
    <xf numFmtId="49" fontId="3" fillId="0" borderId="0" xfId="0" applyNumberFormat="1" applyFont="1" applyFill="1" applyAlignment="1">
      <alignment vertical="center"/>
    </xf>
    <xf numFmtId="0" fontId="3" fillId="9" borderId="17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184" fontId="3" fillId="0" borderId="0" xfId="0" applyNumberFormat="1" applyFont="1" applyFill="1" applyBorder="1" applyAlignment="1">
      <alignment vertical="center"/>
    </xf>
    <xf numFmtId="184" fontId="3" fillId="9" borderId="17" xfId="0" applyNumberFormat="1" applyFont="1" applyFill="1" applyBorder="1" applyAlignment="1">
      <alignment vertical="center"/>
    </xf>
    <xf numFmtId="184" fontId="3" fillId="0" borderId="0" xfId="0" applyNumberFormat="1" applyFont="1" applyFill="1" applyAlignment="1">
      <alignment vertical="center"/>
    </xf>
    <xf numFmtId="184" fontId="3" fillId="0" borderId="0" xfId="0" applyNumberFormat="1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184" fontId="3" fillId="0" borderId="0" xfId="0" applyNumberFormat="1" applyFont="1" applyBorder="1" applyAlignment="1">
      <alignment vertical="center"/>
    </xf>
    <xf numFmtId="184" fontId="3" fillId="8" borderId="85" xfId="0" applyNumberFormat="1" applyFont="1" applyFill="1" applyBorder="1" applyAlignment="1">
      <alignment horizontal="center" vertical="center"/>
    </xf>
    <xf numFmtId="184" fontId="3" fillId="8" borderId="86" xfId="0" applyNumberFormat="1" applyFont="1" applyFill="1" applyBorder="1" applyAlignment="1">
      <alignment horizontal="center" vertical="center"/>
    </xf>
    <xf numFmtId="184" fontId="3" fillId="8" borderId="87" xfId="0" applyNumberFormat="1" applyFont="1" applyFill="1" applyBorder="1" applyAlignment="1">
      <alignment horizontal="center" vertical="center"/>
    </xf>
    <xf numFmtId="185" fontId="3" fillId="8" borderId="85" xfId="0" applyNumberFormat="1" applyFont="1" applyFill="1" applyBorder="1" applyAlignment="1">
      <alignment horizontal="center" vertical="center"/>
    </xf>
    <xf numFmtId="185" fontId="3" fillId="8" borderId="86" xfId="0" applyNumberFormat="1" applyFont="1" applyFill="1" applyBorder="1" applyAlignment="1">
      <alignment horizontal="center" vertical="center"/>
    </xf>
    <xf numFmtId="185" fontId="3" fillId="8" borderId="87" xfId="0" applyNumberFormat="1" applyFont="1" applyFill="1" applyBorder="1" applyAlignment="1">
      <alignment horizontal="center" vertical="center"/>
    </xf>
    <xf numFmtId="49" fontId="26" fillId="9" borderId="6" xfId="0" applyNumberFormat="1" applyFont="1" applyFill="1" applyBorder="1" applyAlignment="1">
      <alignment vertical="center"/>
    </xf>
    <xf numFmtId="184" fontId="3" fillId="9" borderId="36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shrinkToFit="1"/>
    </xf>
    <xf numFmtId="184" fontId="28" fillId="0" borderId="81" xfId="0" applyNumberFormat="1" applyFont="1" applyFill="1" applyBorder="1" applyAlignment="1">
      <alignment vertical="center"/>
    </xf>
    <xf numFmtId="184" fontId="28" fillId="0" borderId="82" xfId="0" applyNumberFormat="1" applyFont="1" applyFill="1" applyBorder="1" applyAlignment="1">
      <alignment vertical="center"/>
    </xf>
    <xf numFmtId="184" fontId="28" fillId="0" borderId="83" xfId="0" applyNumberFormat="1" applyFont="1" applyFill="1" applyBorder="1" applyAlignment="1">
      <alignment vertical="center"/>
    </xf>
    <xf numFmtId="184" fontId="28" fillId="9" borderId="17" xfId="0" applyNumberFormat="1" applyFont="1" applyFill="1" applyBorder="1" applyAlignment="1">
      <alignment vertical="center"/>
    </xf>
    <xf numFmtId="184" fontId="28" fillId="9" borderId="36" xfId="0" applyNumberFormat="1" applyFont="1" applyFill="1" applyBorder="1" applyAlignment="1">
      <alignment vertical="center"/>
    </xf>
    <xf numFmtId="184" fontId="28" fillId="0" borderId="88" xfId="0" applyNumberFormat="1" applyFont="1" applyFill="1" applyBorder="1" applyAlignment="1">
      <alignment vertical="center"/>
    </xf>
    <xf numFmtId="184" fontId="28" fillId="0" borderId="89" xfId="0" applyNumberFormat="1" applyFont="1" applyFill="1" applyBorder="1" applyAlignment="1">
      <alignment vertical="center"/>
    </xf>
    <xf numFmtId="184" fontId="28" fillId="0" borderId="9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184" fontId="25" fillId="0" borderId="0" xfId="0" applyNumberFormat="1" applyFont="1" applyFill="1" applyBorder="1" applyAlignment="1">
      <alignment vertical="center"/>
    </xf>
    <xf numFmtId="184" fontId="25" fillId="0" borderId="0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84" fontId="3" fillId="8" borderId="84" xfId="0" applyNumberFormat="1" applyFont="1" applyFill="1" applyBorder="1" applyAlignment="1">
      <alignment horizontal="center" vertical="center"/>
    </xf>
    <xf numFmtId="184" fontId="28" fillId="0" borderId="12" xfId="0" applyNumberFormat="1" applyFont="1" applyFill="1" applyBorder="1" applyAlignment="1">
      <alignment vertical="center"/>
    </xf>
    <xf numFmtId="184" fontId="28" fillId="0" borderId="91" xfId="0" applyNumberFormat="1" applyFont="1" applyFill="1" applyBorder="1" applyAlignment="1">
      <alignment vertical="center"/>
    </xf>
    <xf numFmtId="0" fontId="3" fillId="9" borderId="36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49" fontId="3" fillId="6" borderId="14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 shrinkToFit="1"/>
    </xf>
    <xf numFmtId="49" fontId="3" fillId="6" borderId="19" xfId="0" applyNumberFormat="1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vertical="center" shrinkToFit="1"/>
    </xf>
    <xf numFmtId="0" fontId="26" fillId="9" borderId="6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185" fontId="27" fillId="8" borderId="24" xfId="0" applyNumberFormat="1" applyFont="1" applyFill="1" applyBorder="1" applyAlignment="1">
      <alignment horizontal="center" vertical="center"/>
    </xf>
    <xf numFmtId="185" fontId="27" fillId="0" borderId="0" xfId="0" applyNumberFormat="1" applyFont="1" applyFill="1" applyAlignment="1">
      <alignment horizontal="center" vertical="center"/>
    </xf>
    <xf numFmtId="185" fontId="27" fillId="8" borderId="78" xfId="0" applyNumberFormat="1" applyFont="1" applyFill="1" applyBorder="1" applyAlignment="1">
      <alignment horizontal="center" vertical="center"/>
    </xf>
    <xf numFmtId="185" fontId="27" fillId="8" borderId="79" xfId="0" applyNumberFormat="1" applyFont="1" applyFill="1" applyBorder="1" applyAlignment="1">
      <alignment horizontal="center" vertical="center"/>
    </xf>
    <xf numFmtId="185" fontId="27" fillId="8" borderId="80" xfId="0" applyNumberFormat="1" applyFont="1" applyFill="1" applyBorder="1" applyAlignment="1">
      <alignment horizontal="center" vertical="center"/>
    </xf>
    <xf numFmtId="184" fontId="27" fillId="8" borderId="84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84" fontId="27" fillId="8" borderId="85" xfId="0" applyNumberFormat="1" applyFont="1" applyFill="1" applyBorder="1" applyAlignment="1">
      <alignment horizontal="center" vertical="center"/>
    </xf>
    <xf numFmtId="184" fontId="27" fillId="8" borderId="86" xfId="0" applyNumberFormat="1" applyFont="1" applyFill="1" applyBorder="1" applyAlignment="1">
      <alignment horizontal="center" vertical="center"/>
    </xf>
    <xf numFmtId="184" fontId="27" fillId="8" borderId="87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85" fontId="27" fillId="8" borderId="92" xfId="0" applyNumberFormat="1" applyFont="1" applyFill="1" applyBorder="1" applyAlignment="1">
      <alignment horizontal="center" vertical="center"/>
    </xf>
    <xf numFmtId="184" fontId="28" fillId="6" borderId="12" xfId="0" applyNumberFormat="1" applyFont="1" applyFill="1" applyBorder="1" applyAlignment="1">
      <alignment vertical="center"/>
    </xf>
    <xf numFmtId="184" fontId="28" fillId="6" borderId="82" xfId="0" applyNumberFormat="1" applyFont="1" applyFill="1" applyBorder="1" applyAlignment="1">
      <alignment vertical="center"/>
    </xf>
    <xf numFmtId="184" fontId="28" fillId="6" borderId="89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86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181" fontId="3" fillId="10" borderId="46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7" fillId="5" borderId="11" xfId="0" applyNumberFormat="1" applyFont="1" applyFill="1" applyBorder="1" applyAlignment="1" applyProtection="1">
      <alignment horizontal="center" vertical="center" wrapText="1"/>
    </xf>
    <xf numFmtId="178" fontId="7" fillId="0" borderId="11" xfId="0" applyNumberFormat="1" applyFont="1" applyFill="1" applyBorder="1" applyAlignment="1" applyProtection="1">
      <alignment horizontal="center" vertical="center"/>
    </xf>
    <xf numFmtId="178" fontId="7" fillId="2" borderId="11" xfId="0" applyNumberFormat="1" applyFont="1" applyFill="1" applyBorder="1" applyAlignment="1" applyProtection="1">
      <alignment horizontal="center" vertical="center"/>
    </xf>
    <xf numFmtId="178" fontId="7" fillId="0" borderId="11" xfId="1" applyNumberFormat="1" applyFont="1" applyFill="1" applyBorder="1" applyAlignment="1" applyProtection="1">
      <alignment horizontal="center" vertical="center"/>
    </xf>
    <xf numFmtId="178" fontId="7" fillId="2" borderId="11" xfId="0" applyNumberFormat="1" applyFont="1" applyFill="1" applyBorder="1" applyAlignment="1" applyProtection="1">
      <alignment horizontal="center" vertical="center" shrinkToFit="1"/>
    </xf>
    <xf numFmtId="187" fontId="7" fillId="0" borderId="0" xfId="0" applyNumberFormat="1" applyFont="1" applyFill="1" applyBorder="1" applyAlignment="1">
      <alignment vertical="center"/>
    </xf>
    <xf numFmtId="187" fontId="29" fillId="0" borderId="0" xfId="0" applyNumberFormat="1" applyFont="1" applyFill="1" applyBorder="1" applyAlignment="1">
      <alignment horizontal="center" vertical="center"/>
    </xf>
    <xf numFmtId="187" fontId="7" fillId="5" borderId="94" xfId="0" applyNumberFormat="1" applyFont="1" applyFill="1" applyBorder="1" applyAlignment="1" applyProtection="1">
      <alignment horizontal="center" vertical="center" wrapText="1" shrinkToFit="1"/>
    </xf>
    <xf numFmtId="187" fontId="7" fillId="0" borderId="94" xfId="0" applyNumberFormat="1" applyFont="1" applyFill="1" applyBorder="1" applyAlignment="1" applyProtection="1">
      <alignment vertical="center" shrinkToFit="1"/>
    </xf>
    <xf numFmtId="187" fontId="7" fillId="2" borderId="94" xfId="0" applyNumberFormat="1" applyFont="1" applyFill="1" applyBorder="1" applyAlignment="1" applyProtection="1">
      <alignment vertical="center" shrinkToFit="1"/>
    </xf>
    <xf numFmtId="187" fontId="7" fillId="0" borderId="94" xfId="1" applyNumberFormat="1" applyFont="1" applyFill="1" applyBorder="1" applyAlignment="1" applyProtection="1">
      <alignment vertical="center"/>
    </xf>
    <xf numFmtId="187" fontId="7" fillId="2" borderId="94" xfId="1" applyNumberFormat="1" applyFont="1" applyFill="1" applyBorder="1" applyAlignment="1" applyProtection="1">
      <alignment vertical="center"/>
    </xf>
    <xf numFmtId="187" fontId="7" fillId="2" borderId="94" xfId="0" applyNumberFormat="1" applyFont="1" applyFill="1" applyBorder="1" applyAlignment="1" applyProtection="1">
      <alignment horizontal="center" vertical="center" shrinkToFit="1"/>
    </xf>
    <xf numFmtId="187" fontId="6" fillId="0" borderId="0" xfId="0" applyNumberFormat="1" applyFont="1" applyFill="1" applyAlignment="1">
      <alignment horizontal="center" vertical="center" shrinkToFit="1"/>
    </xf>
    <xf numFmtId="0" fontId="30" fillId="0" borderId="0" xfId="3" applyFont="1" applyAlignment="1">
      <alignment vertical="top"/>
    </xf>
    <xf numFmtId="0" fontId="19" fillId="0" borderId="0" xfId="3" applyFont="1">
      <alignment vertical="center"/>
    </xf>
    <xf numFmtId="0" fontId="18" fillId="11" borderId="93" xfId="3" applyFont="1" applyFill="1" applyBorder="1" applyAlignment="1">
      <alignment horizontal="center" vertical="center"/>
    </xf>
    <xf numFmtId="0" fontId="18" fillId="0" borderId="6" xfId="3" applyFont="1" applyFill="1" applyBorder="1" applyAlignment="1">
      <alignment horizontal="center" vertical="center" wrapText="1"/>
    </xf>
    <xf numFmtId="0" fontId="18" fillId="0" borderId="93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 wrapText="1"/>
    </xf>
    <xf numFmtId="0" fontId="18" fillId="0" borderId="102" xfId="3" applyFont="1" applyFill="1" applyBorder="1" applyAlignment="1">
      <alignment horizontal="center" vertical="center" wrapText="1"/>
    </xf>
    <xf numFmtId="0" fontId="18" fillId="0" borderId="10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8" fillId="0" borderId="28" xfId="3" applyFont="1" applyFill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/>
    </xf>
    <xf numFmtId="0" fontId="30" fillId="0" borderId="0" xfId="3" applyFont="1" applyBorder="1" applyAlignment="1">
      <alignment vertical="center" wrapText="1"/>
    </xf>
    <xf numFmtId="0" fontId="30" fillId="0" borderId="0" xfId="3" applyFont="1">
      <alignment vertical="center"/>
    </xf>
    <xf numFmtId="0" fontId="31" fillId="0" borderId="0" xfId="3" applyFont="1">
      <alignment vertical="center"/>
    </xf>
    <xf numFmtId="0" fontId="19" fillId="0" borderId="0" xfId="3" applyFont="1" applyFill="1" applyBorder="1" applyAlignment="1">
      <alignment horizontal="left" vertical="center"/>
    </xf>
    <xf numFmtId="0" fontId="6" fillId="0" borderId="0" xfId="3" applyFont="1">
      <alignment vertical="center"/>
    </xf>
    <xf numFmtId="182" fontId="7" fillId="6" borderId="36" xfId="0" applyNumberFormat="1" applyFont="1" applyFill="1" applyBorder="1" applyAlignment="1" applyProtection="1">
      <alignment vertical="center" shrinkToFit="1"/>
    </xf>
    <xf numFmtId="182" fontId="7" fillId="6" borderId="36" xfId="0" applyNumberFormat="1" applyFont="1" applyFill="1" applyBorder="1" applyAlignment="1" applyProtection="1">
      <alignment horizontal="right" vertical="center" shrinkToFit="1"/>
    </xf>
    <xf numFmtId="0" fontId="18" fillId="0" borderId="13" xfId="3" applyFont="1" applyBorder="1" applyAlignment="1">
      <alignment horizontal="center" vertical="center" wrapText="1"/>
    </xf>
    <xf numFmtId="0" fontId="18" fillId="0" borderId="49" xfId="3" applyFont="1" applyBorder="1" applyAlignment="1">
      <alignment horizontal="center" vertical="center" wrapText="1"/>
    </xf>
    <xf numFmtId="178" fontId="3" fillId="3" borderId="61" xfId="0" applyNumberFormat="1" applyFont="1" applyFill="1" applyBorder="1" applyAlignment="1" applyProtection="1">
      <alignment horizontal="centerContinuous" vertical="top" wrapText="1"/>
    </xf>
    <xf numFmtId="178" fontId="3" fillId="3" borderId="62" xfId="0" applyNumberFormat="1" applyFont="1" applyFill="1" applyBorder="1" applyAlignment="1" applyProtection="1">
      <alignment horizontal="centerContinuous" vertical="top" wrapText="1"/>
    </xf>
    <xf numFmtId="0" fontId="18" fillId="3" borderId="98" xfId="3" applyFont="1" applyFill="1" applyBorder="1" applyAlignment="1">
      <alignment horizontal="center" vertical="center" wrapText="1"/>
    </xf>
    <xf numFmtId="0" fontId="18" fillId="3" borderId="99" xfId="3" applyFont="1" applyFill="1" applyBorder="1" applyAlignment="1">
      <alignment horizontal="center" vertical="center" wrapText="1"/>
    </xf>
    <xf numFmtId="0" fontId="18" fillId="3" borderId="100" xfId="3" applyFont="1" applyFill="1" applyBorder="1" applyAlignment="1">
      <alignment horizontal="center" vertical="center" wrapText="1"/>
    </xf>
    <xf numFmtId="0" fontId="18" fillId="3" borderId="93" xfId="3" applyFont="1" applyFill="1" applyBorder="1" applyAlignment="1">
      <alignment horizontal="center" vertical="center"/>
    </xf>
    <xf numFmtId="0" fontId="18" fillId="3" borderId="101" xfId="3" applyFont="1" applyFill="1" applyBorder="1" applyAlignment="1">
      <alignment horizontal="center" vertical="center"/>
    </xf>
    <xf numFmtId="182" fontId="7" fillId="6" borderId="7" xfId="0" applyNumberFormat="1" applyFont="1" applyFill="1" applyBorder="1" applyAlignment="1" applyProtection="1">
      <alignment vertical="center" shrinkToFit="1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0" fontId="7" fillId="5" borderId="22" xfId="0" applyFont="1" applyFill="1" applyBorder="1" applyAlignment="1" applyProtection="1">
      <alignment horizontal="center" vertical="center" wrapText="1" shrinkToFit="1"/>
    </xf>
    <xf numFmtId="182" fontId="7" fillId="6" borderId="7" xfId="0" applyNumberFormat="1" applyFont="1" applyFill="1" applyBorder="1" applyAlignment="1" applyProtection="1">
      <alignment horizontal="right" vertical="center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7" fillId="0" borderId="36" xfId="0" applyFont="1" applyFill="1" applyBorder="1" applyAlignment="1" applyProtection="1">
      <alignment horizontal="center" vertical="center" wrapText="1" shrinkToFit="1"/>
    </xf>
    <xf numFmtId="182" fontId="7" fillId="13" borderId="36" xfId="0" applyNumberFormat="1" applyFont="1" applyFill="1" applyBorder="1" applyAlignment="1" applyProtection="1">
      <alignment vertical="center" shrinkToFit="1"/>
    </xf>
    <xf numFmtId="182" fontId="7" fillId="13" borderId="7" xfId="0" applyNumberFormat="1" applyFont="1" applyFill="1" applyBorder="1" applyAlignment="1" applyProtection="1">
      <alignment vertical="center" shrinkToFit="1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182" fontId="7" fillId="0" borderId="13" xfId="0" applyNumberFormat="1" applyFont="1" applyFill="1" applyBorder="1" applyAlignment="1" applyProtection="1">
      <alignment horizontal="center" vertical="center" shrinkToFit="1"/>
    </xf>
    <xf numFmtId="182" fontId="7" fillId="0" borderId="13" xfId="0" applyNumberFormat="1" applyFont="1" applyFill="1" applyBorder="1" applyAlignment="1" applyProtection="1">
      <alignment horizontal="right" vertical="center" shrinkToFit="1"/>
    </xf>
    <xf numFmtId="0" fontId="7" fillId="0" borderId="14" xfId="0" applyFont="1" applyFill="1" applyBorder="1" applyAlignment="1" applyProtection="1">
      <alignment vertical="center" shrinkToFit="1"/>
    </xf>
    <xf numFmtId="0" fontId="7" fillId="2" borderId="14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vertical="center"/>
    </xf>
    <xf numFmtId="182" fontId="7" fillId="2" borderId="4" xfId="0" applyNumberFormat="1" applyFont="1" applyFill="1" applyBorder="1" applyAlignment="1" applyProtection="1">
      <alignment horizontal="center" vertical="center" shrinkToFit="1"/>
    </xf>
    <xf numFmtId="182" fontId="7" fillId="0" borderId="51" xfId="0" applyNumberFormat="1" applyFont="1" applyFill="1" applyBorder="1" applyAlignment="1" applyProtection="1">
      <alignment vertical="center" shrinkToFit="1"/>
    </xf>
    <xf numFmtId="184" fontId="28" fillId="12" borderId="12" xfId="0" applyNumberFormat="1" applyFont="1" applyFill="1" applyBorder="1" applyAlignment="1">
      <alignment vertical="center"/>
    </xf>
    <xf numFmtId="184" fontId="28" fillId="12" borderId="81" xfId="0" applyNumberFormat="1" applyFont="1" applyFill="1" applyBorder="1" applyAlignment="1">
      <alignment vertical="center"/>
    </xf>
    <xf numFmtId="184" fontId="28" fillId="12" borderId="82" xfId="0" applyNumberFormat="1" applyFont="1" applyFill="1" applyBorder="1" applyAlignment="1">
      <alignment vertical="center"/>
    </xf>
    <xf numFmtId="184" fontId="28" fillId="12" borderId="91" xfId="0" applyNumberFormat="1" applyFont="1" applyFill="1" applyBorder="1" applyAlignment="1">
      <alignment vertical="center"/>
    </xf>
    <xf numFmtId="184" fontId="28" fillId="12" borderId="88" xfId="0" applyNumberFormat="1" applyFont="1" applyFill="1" applyBorder="1" applyAlignment="1">
      <alignment vertical="center"/>
    </xf>
    <xf numFmtId="184" fontId="28" fillId="12" borderId="89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88" fontId="7" fillId="0" borderId="0" xfId="0" applyNumberFormat="1" applyFont="1" applyFill="1" applyAlignment="1">
      <alignment horizontal="center" vertical="center"/>
    </xf>
    <xf numFmtId="182" fontId="7" fillId="0" borderId="33" xfId="0" applyNumberFormat="1" applyFont="1" applyFill="1" applyBorder="1" applyAlignment="1" applyProtection="1">
      <alignment horizontal="center" vertical="center" shrinkToFit="1"/>
    </xf>
    <xf numFmtId="182" fontId="7" fillId="0" borderId="110" xfId="0" applyNumberFormat="1" applyFont="1" applyFill="1" applyBorder="1" applyAlignment="1" applyProtection="1">
      <alignment vertical="center" shrinkToFit="1"/>
    </xf>
    <xf numFmtId="182" fontId="7" fillId="0" borderId="109" xfId="0" applyNumberFormat="1" applyFont="1" applyFill="1" applyBorder="1" applyAlignment="1" applyProtection="1">
      <alignment vertical="center" shrinkToFit="1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182" fontId="7" fillId="2" borderId="7" xfId="0" applyNumberFormat="1" applyFont="1" applyFill="1" applyBorder="1" applyAlignment="1" applyProtection="1">
      <alignment horizontal="center" vertical="center" shrinkToFit="1"/>
    </xf>
    <xf numFmtId="182" fontId="7" fillId="2" borderId="17" xfId="0" applyNumberFormat="1" applyFont="1" applyFill="1" applyBorder="1" applyAlignment="1" applyProtection="1">
      <alignment vertical="center"/>
    </xf>
    <xf numFmtId="182" fontId="7" fillId="2" borderId="34" xfId="0" applyNumberFormat="1" applyFont="1" applyFill="1" applyBorder="1" applyAlignment="1" applyProtection="1">
      <alignment horizontal="center" vertical="center" shrinkToFit="1"/>
    </xf>
    <xf numFmtId="182" fontId="7" fillId="2" borderId="33" xfId="0" applyNumberFormat="1" applyFont="1" applyFill="1" applyBorder="1" applyAlignment="1" applyProtection="1">
      <alignment horizontal="center" vertical="center" shrinkToFit="1"/>
    </xf>
    <xf numFmtId="182" fontId="7" fillId="2" borderId="51" xfId="0" applyNumberFormat="1" applyFont="1" applyFill="1" applyBorder="1" applyAlignment="1" applyProtection="1">
      <alignment horizontal="center" vertical="center" shrinkToFit="1"/>
    </xf>
    <xf numFmtId="182" fontId="7" fillId="2" borderId="12" xfId="0" applyNumberFormat="1" applyFont="1" applyFill="1" applyBorder="1" applyAlignment="1" applyProtection="1">
      <alignment horizontal="center" vertical="center" shrinkToFit="1"/>
    </xf>
    <xf numFmtId="182" fontId="7" fillId="3" borderId="11" xfId="0" applyNumberFormat="1" applyFont="1" applyFill="1" applyBorder="1" applyAlignment="1" applyProtection="1">
      <alignment vertical="center" shrinkToFit="1"/>
    </xf>
    <xf numFmtId="182" fontId="7" fillId="3" borderId="7" xfId="0" applyNumberFormat="1" applyFont="1" applyFill="1" applyBorder="1" applyAlignment="1" applyProtection="1">
      <alignment vertical="center" shrinkToFit="1"/>
    </xf>
    <xf numFmtId="182" fontId="7" fillId="0" borderId="113" xfId="0" applyNumberFormat="1" applyFont="1" applyFill="1" applyBorder="1" applyAlignment="1" applyProtection="1">
      <alignment vertical="center" shrinkToFit="1"/>
    </xf>
    <xf numFmtId="182" fontId="7" fillId="0" borderId="111" xfId="0" applyNumberFormat="1" applyFont="1" applyFill="1" applyBorder="1" applyAlignment="1" applyProtection="1">
      <alignment vertical="center" shrinkToFit="1"/>
    </xf>
    <xf numFmtId="0" fontId="7" fillId="5" borderId="114" xfId="0" applyFont="1" applyFill="1" applyBorder="1" applyAlignment="1" applyProtection="1">
      <alignment horizontal="center" vertical="center" wrapText="1" shrinkToFit="1"/>
    </xf>
    <xf numFmtId="0" fontId="7" fillId="5" borderId="52" xfId="0" applyFont="1" applyFill="1" applyBorder="1" applyAlignment="1" applyProtection="1">
      <alignment horizontal="center" vertical="center" wrapText="1" shrinkToFit="1"/>
    </xf>
    <xf numFmtId="182" fontId="7" fillId="2" borderId="25" xfId="0" applyNumberFormat="1" applyFont="1" applyFill="1" applyBorder="1" applyAlignment="1" applyProtection="1">
      <alignment horizontal="center" vertical="center" shrinkToFit="1"/>
    </xf>
    <xf numFmtId="182" fontId="7" fillId="2" borderId="112" xfId="0" applyNumberFormat="1" applyFont="1" applyFill="1" applyBorder="1" applyAlignment="1" applyProtection="1">
      <alignment vertical="center" shrinkToFit="1"/>
    </xf>
    <xf numFmtId="182" fontId="7" fillId="2" borderId="22" xfId="0" applyNumberFormat="1" applyFont="1" applyFill="1" applyBorder="1" applyAlignment="1" applyProtection="1">
      <alignment horizontal="center" vertical="center" shrinkToFit="1"/>
    </xf>
    <xf numFmtId="182" fontId="7" fillId="2" borderId="111" xfId="0" applyNumberFormat="1" applyFont="1" applyFill="1" applyBorder="1" applyAlignment="1" applyProtection="1">
      <alignment vertical="center" shrinkToFit="1"/>
    </xf>
    <xf numFmtId="182" fontId="7" fillId="0" borderId="113" xfId="0" applyNumberFormat="1" applyFont="1" applyFill="1" applyBorder="1" applyAlignment="1" applyProtection="1">
      <alignment horizontal="center" vertical="center" shrinkToFit="1"/>
    </xf>
    <xf numFmtId="182" fontId="7" fillId="2" borderId="21" xfId="0" applyNumberFormat="1" applyFont="1" applyFill="1" applyBorder="1" applyAlignment="1" applyProtection="1">
      <alignment vertical="center" shrinkToFit="1"/>
    </xf>
    <xf numFmtId="182" fontId="7" fillId="3" borderId="17" xfId="0" applyNumberFormat="1" applyFont="1" applyFill="1" applyBorder="1" applyAlignment="1" applyProtection="1">
      <alignment vertical="center" shrinkToFit="1"/>
    </xf>
    <xf numFmtId="182" fontId="7" fillId="3" borderId="12" xfId="0" applyNumberFormat="1" applyFont="1" applyFill="1" applyBorder="1" applyAlignment="1" applyProtection="1">
      <alignment vertical="center" shrinkToFit="1"/>
    </xf>
    <xf numFmtId="182" fontId="7" fillId="6" borderId="12" xfId="0" applyNumberFormat="1" applyFont="1" applyFill="1" applyBorder="1" applyAlignment="1" applyProtection="1">
      <alignment vertical="center" shrinkToFit="1"/>
    </xf>
    <xf numFmtId="182" fontId="7" fillId="3" borderId="7" xfId="0" applyNumberFormat="1" applyFont="1" applyFill="1" applyBorder="1" applyAlignment="1" applyProtection="1">
      <alignment horizontal="right" vertical="center" shrinkToFit="1"/>
    </xf>
    <xf numFmtId="182" fontId="7" fillId="6" borderId="12" xfId="0" applyNumberFormat="1" applyFont="1" applyFill="1" applyBorder="1" applyAlignment="1" applyProtection="1">
      <alignment horizontal="right" vertical="center" shrinkToFit="1"/>
    </xf>
    <xf numFmtId="0" fontId="7" fillId="5" borderId="49" xfId="0" applyFont="1" applyFill="1" applyBorder="1" applyAlignment="1" applyProtection="1">
      <alignment horizontal="center" vertical="center" wrapText="1" shrinkToFit="1"/>
    </xf>
    <xf numFmtId="0" fontId="7" fillId="5" borderId="30" xfId="0" applyFont="1" applyFill="1" applyBorder="1" applyAlignment="1" applyProtection="1">
      <alignment horizontal="center" vertical="center" wrapText="1" shrinkToFit="1"/>
    </xf>
    <xf numFmtId="178" fontId="3" fillId="4" borderId="63" xfId="0" applyNumberFormat="1" applyFont="1" applyFill="1" applyBorder="1" applyAlignment="1" applyProtection="1">
      <alignment horizontal="centerContinuous" vertical="top"/>
    </xf>
    <xf numFmtId="178" fontId="3" fillId="4" borderId="64" xfId="0" applyNumberFormat="1" applyFont="1" applyFill="1" applyBorder="1" applyAlignment="1" applyProtection="1">
      <alignment horizontal="centerContinuous" vertical="top"/>
    </xf>
    <xf numFmtId="178" fontId="3" fillId="4" borderId="105" xfId="0" applyNumberFormat="1" applyFont="1" applyFill="1" applyBorder="1" applyAlignment="1" applyProtection="1">
      <alignment horizontal="centerContinuous" vertical="top"/>
    </xf>
    <xf numFmtId="178" fontId="3" fillId="4" borderId="104" xfId="0" applyNumberFormat="1" applyFont="1" applyFill="1" applyBorder="1" applyAlignment="1" applyProtection="1">
      <alignment horizontal="centerContinuous" vertical="top"/>
    </xf>
    <xf numFmtId="184" fontId="3" fillId="0" borderId="14" xfId="0" applyNumberFormat="1" applyFont="1" applyFill="1" applyBorder="1" applyAlignment="1" applyProtection="1">
      <alignment horizontal="right" shrinkToFit="1"/>
    </xf>
    <xf numFmtId="184" fontId="3" fillId="0" borderId="7" xfId="1" applyNumberFormat="1" applyFont="1" applyFill="1" applyBorder="1" applyAlignment="1" applyProtection="1">
      <alignment horizontal="right" vertical="center"/>
    </xf>
    <xf numFmtId="184" fontId="3" fillId="0" borderId="14" xfId="0" applyNumberFormat="1" applyFont="1" applyFill="1" applyBorder="1" applyAlignment="1" applyProtection="1">
      <alignment horizontal="right" vertical="center" shrinkToFit="1"/>
    </xf>
    <xf numFmtId="184" fontId="3" fillId="0" borderId="7" xfId="0" applyNumberFormat="1" applyFont="1" applyFill="1" applyBorder="1" applyAlignment="1" applyProtection="1">
      <alignment horizontal="right" vertical="center" shrinkToFit="1"/>
    </xf>
    <xf numFmtId="184" fontId="3" fillId="0" borderId="14" xfId="1" applyNumberFormat="1" applyFont="1" applyFill="1" applyBorder="1" applyAlignment="1" applyProtection="1">
      <alignment horizontal="right" vertical="center"/>
    </xf>
    <xf numFmtId="184" fontId="3" fillId="10" borderId="14" xfId="0" applyNumberFormat="1" applyFont="1" applyFill="1" applyBorder="1" applyAlignment="1" applyProtection="1">
      <alignment horizontal="right" vertical="center" shrinkToFit="1"/>
    </xf>
    <xf numFmtId="184" fontId="3" fillId="0" borderId="19" xfId="0" applyNumberFormat="1" applyFont="1" applyFill="1" applyBorder="1" applyAlignment="1" applyProtection="1">
      <alignment horizontal="right" vertical="center" shrinkToFit="1"/>
    </xf>
    <xf numFmtId="184" fontId="3" fillId="0" borderId="27" xfId="0" applyNumberFormat="1" applyFont="1" applyFill="1" applyBorder="1" applyAlignment="1" applyProtection="1">
      <alignment horizontal="right" vertical="center" shrinkToFit="1"/>
    </xf>
    <xf numFmtId="176" fontId="4" fillId="0" borderId="43" xfId="1" applyNumberFormat="1" applyFont="1" applyFill="1" applyBorder="1" applyAlignment="1" applyProtection="1">
      <alignment horizontal="right" vertical="center"/>
    </xf>
    <xf numFmtId="182" fontId="7" fillId="3" borderId="11" xfId="0" applyNumberFormat="1" applyFont="1" applyFill="1" applyBorder="1" applyAlignment="1" applyProtection="1">
      <alignment horizontal="right" vertical="center" shrinkToFit="1"/>
    </xf>
    <xf numFmtId="182" fontId="7" fillId="3" borderId="13" xfId="0" applyNumberFormat="1" applyFont="1" applyFill="1" applyBorder="1" applyAlignment="1" applyProtection="1">
      <alignment vertical="center" shrinkToFit="1"/>
    </xf>
    <xf numFmtId="182" fontId="7" fillId="3" borderId="13" xfId="0" applyNumberFormat="1" applyFont="1" applyFill="1" applyBorder="1" applyAlignment="1" applyProtection="1">
      <alignment horizontal="right" vertical="center" shrinkToFit="1"/>
    </xf>
    <xf numFmtId="182" fontId="7" fillId="3" borderId="36" xfId="0" applyNumberFormat="1" applyFont="1" applyFill="1" applyBorder="1" applyAlignment="1" applyProtection="1">
      <alignment horizontal="right" vertical="center" shrinkToFit="1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7" fillId="12" borderId="14" xfId="0" applyFont="1" applyFill="1" applyBorder="1" applyAlignment="1" applyProtection="1">
      <alignment horizontal="center" vertical="center" wrapText="1" shrinkToFit="1"/>
    </xf>
    <xf numFmtId="0" fontId="7" fillId="12" borderId="37" xfId="0" applyFont="1" applyFill="1" applyBorder="1" applyAlignment="1" applyProtection="1">
      <alignment horizontal="center" vertical="center" wrapText="1" shrinkToFit="1"/>
    </xf>
    <xf numFmtId="176" fontId="3" fillId="0" borderId="0" xfId="0" applyNumberFormat="1" applyFont="1" applyFill="1" applyAlignment="1">
      <alignment horizontal="left" vertical="center"/>
    </xf>
    <xf numFmtId="176" fontId="4" fillId="6" borderId="7" xfId="0" applyNumberFormat="1" applyFont="1" applyFill="1" applyBorder="1" applyAlignment="1" applyProtection="1">
      <alignment horizontal="right" vertical="center" shrinkToFit="1"/>
    </xf>
    <xf numFmtId="182" fontId="34" fillId="0" borderId="11" xfId="0" applyNumberFormat="1" applyFont="1" applyFill="1" applyBorder="1" applyAlignment="1" applyProtection="1">
      <alignment horizontal="center" vertical="center" shrinkToFit="1"/>
    </xf>
    <xf numFmtId="182" fontId="34" fillId="0" borderId="12" xfId="0" applyNumberFormat="1" applyFont="1" applyFill="1" applyBorder="1" applyAlignment="1" applyProtection="1">
      <alignment vertical="center" shrinkToFit="1"/>
    </xf>
    <xf numFmtId="182" fontId="34" fillId="0" borderId="17" xfId="0" applyNumberFormat="1" applyFont="1" applyFill="1" applyBorder="1" applyAlignment="1" applyProtection="1">
      <alignment vertical="center" shrinkToFit="1"/>
    </xf>
    <xf numFmtId="182" fontId="34" fillId="0" borderId="7" xfId="0" applyNumberFormat="1" applyFont="1" applyFill="1" applyBorder="1" applyAlignment="1" applyProtection="1">
      <alignment vertical="center" shrinkToFit="1"/>
    </xf>
    <xf numFmtId="182" fontId="34" fillId="2" borderId="17" xfId="0" applyNumberFormat="1" applyFont="1" applyFill="1" applyBorder="1" applyAlignment="1" applyProtection="1">
      <alignment vertical="center" shrinkToFit="1"/>
    </xf>
    <xf numFmtId="182" fontId="34" fillId="0" borderId="17" xfId="0" applyNumberFormat="1" applyFont="1" applyFill="1" applyBorder="1" applyAlignment="1" applyProtection="1">
      <alignment horizontal="center" vertical="center" shrinkToFit="1"/>
    </xf>
    <xf numFmtId="182" fontId="34" fillId="0" borderId="11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 shrinkToFit="1"/>
    </xf>
    <xf numFmtId="180" fontId="3" fillId="0" borderId="35" xfId="0" applyNumberFormat="1" applyFont="1" applyFill="1" applyBorder="1" applyAlignment="1" applyProtection="1">
      <alignment horizontal="right" vertical="center" shrinkToFit="1"/>
    </xf>
    <xf numFmtId="176" fontId="3" fillId="0" borderId="42" xfId="0" applyNumberFormat="1" applyFont="1" applyFill="1" applyBorder="1" applyAlignment="1" applyProtection="1">
      <alignment horizontal="right" vertical="center" shrinkToFit="1"/>
    </xf>
    <xf numFmtId="176" fontId="3" fillId="6" borderId="18" xfId="0" applyNumberFormat="1" applyFont="1" applyFill="1" applyBorder="1" applyAlignment="1" applyProtection="1">
      <alignment horizontal="right" vertical="center" shrinkToFit="1"/>
    </xf>
    <xf numFmtId="176" fontId="3" fillId="6" borderId="31" xfId="0" applyNumberFormat="1" applyFont="1" applyFill="1" applyBorder="1" applyAlignment="1" applyProtection="1">
      <alignment horizontal="right" vertical="center" shrinkToFit="1"/>
    </xf>
    <xf numFmtId="176" fontId="4" fillId="6" borderId="7" xfId="1" applyNumberFormat="1" applyFont="1" applyFill="1" applyBorder="1" applyAlignment="1" applyProtection="1">
      <alignment horizontal="right" vertical="center"/>
    </xf>
    <xf numFmtId="176" fontId="3" fillId="6" borderId="16" xfId="0" applyNumberFormat="1" applyFont="1" applyFill="1" applyBorder="1" applyAlignment="1" applyProtection="1">
      <alignment horizontal="right" vertical="center" shrinkToFit="1"/>
    </xf>
    <xf numFmtId="184" fontId="3" fillId="0" borderId="18" xfId="0" applyNumberFormat="1" applyFont="1" applyFill="1" applyBorder="1" applyAlignment="1" applyProtection="1">
      <alignment horizontal="right" vertical="center" shrinkToFit="1"/>
    </xf>
    <xf numFmtId="184" fontId="3" fillId="0" borderId="31" xfId="0" applyNumberFormat="1" applyFont="1" applyFill="1" applyBorder="1" applyAlignment="1" applyProtection="1">
      <alignment horizontal="right" vertical="center" shrinkToFit="1"/>
    </xf>
    <xf numFmtId="0" fontId="6" fillId="0" borderId="112" xfId="0" applyFont="1" applyFill="1" applyBorder="1" applyAlignment="1">
      <alignment vertical="center"/>
    </xf>
    <xf numFmtId="184" fontId="28" fillId="0" borderId="17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horizontal="left" vertical="center"/>
    </xf>
    <xf numFmtId="184" fontId="3" fillId="0" borderId="15" xfId="0" applyNumberFormat="1" applyFont="1" applyFill="1" applyBorder="1" applyAlignment="1" applyProtection="1">
      <alignment horizontal="right" vertical="center" shrinkToFit="1"/>
    </xf>
    <xf numFmtId="182" fontId="7" fillId="0" borderId="12" xfId="0" applyNumberFormat="1" applyFont="1" applyFill="1" applyBorder="1" applyAlignment="1" applyProtection="1">
      <alignment horizontal="right" vertical="center" shrinkToFit="1"/>
    </xf>
    <xf numFmtId="0" fontId="3" fillId="2" borderId="51" xfId="0" applyFont="1" applyFill="1" applyBorder="1" applyAlignment="1" applyProtection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center" vertical="center" shrinkToFit="1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2" borderId="13" xfId="0" applyFont="1" applyFill="1" applyBorder="1" applyAlignment="1" applyProtection="1">
      <alignment vertical="center" shrinkToFit="1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76" fontId="3" fillId="0" borderId="43" xfId="0" applyNumberFormat="1" applyFont="1" applyFill="1" applyBorder="1" applyAlignment="1" applyProtection="1">
      <alignment horizontal="center" vertical="center" shrinkToFit="1"/>
    </xf>
    <xf numFmtId="181" fontId="3" fillId="2" borderId="46" xfId="0" applyNumberFormat="1" applyFont="1" applyFill="1" applyBorder="1" applyAlignment="1" applyProtection="1">
      <alignment horizontal="center" vertical="center"/>
    </xf>
    <xf numFmtId="180" fontId="3" fillId="2" borderId="36" xfId="0" applyNumberFormat="1" applyFont="1" applyFill="1" applyBorder="1" applyAlignment="1" applyProtection="1">
      <alignment horizontal="right" vertical="center" shrinkToFit="1"/>
    </xf>
    <xf numFmtId="0" fontId="3" fillId="2" borderId="0" xfId="0" applyFont="1" applyFill="1" applyAlignment="1">
      <alignment vertical="center"/>
    </xf>
    <xf numFmtId="178" fontId="3" fillId="2" borderId="6" xfId="0" applyNumberFormat="1" applyFont="1" applyFill="1" applyBorder="1" applyAlignment="1" applyProtection="1">
      <alignment horizontal="center" vertical="center"/>
    </xf>
    <xf numFmtId="176" fontId="3" fillId="2" borderId="43" xfId="0" applyNumberFormat="1" applyFont="1" applyFill="1" applyBorder="1" applyAlignment="1" applyProtection="1">
      <alignment horizontal="center" vertical="center" shrinkToFit="1"/>
    </xf>
    <xf numFmtId="176" fontId="3" fillId="2" borderId="14" xfId="0" applyNumberFormat="1" applyFont="1" applyFill="1" applyBorder="1" applyAlignment="1" applyProtection="1">
      <alignment horizontal="right" vertical="center" shrinkToFit="1"/>
    </xf>
    <xf numFmtId="176" fontId="3" fillId="2" borderId="7" xfId="0" applyNumberFormat="1" applyFont="1" applyFill="1" applyBorder="1" applyAlignment="1" applyProtection="1">
      <alignment horizontal="right" vertical="center" shrinkToFit="1"/>
    </xf>
    <xf numFmtId="176" fontId="3" fillId="2" borderId="13" xfId="0" applyNumberFormat="1" applyFont="1" applyFill="1" applyBorder="1" applyAlignment="1" applyProtection="1">
      <alignment horizontal="right" vertical="center" shrinkToFit="1"/>
    </xf>
    <xf numFmtId="178" fontId="3" fillId="2" borderId="46" xfId="0" applyNumberFormat="1" applyFont="1" applyFill="1" applyBorder="1" applyAlignment="1" applyProtection="1">
      <alignment horizontal="center" vertical="center"/>
    </xf>
    <xf numFmtId="176" fontId="3" fillId="2" borderId="36" xfId="0" applyNumberFormat="1" applyFont="1" applyFill="1" applyBorder="1" applyAlignment="1" applyProtection="1">
      <alignment vertical="center" shrinkToFit="1"/>
    </xf>
    <xf numFmtId="184" fontId="3" fillId="2" borderId="14" xfId="0" applyNumberFormat="1" applyFont="1" applyFill="1" applyBorder="1" applyAlignment="1" applyProtection="1">
      <alignment horizontal="right" vertical="center" shrinkToFit="1"/>
    </xf>
    <xf numFmtId="184" fontId="3" fillId="2" borderId="7" xfId="0" applyNumberFormat="1" applyFont="1" applyFill="1" applyBorder="1" applyAlignment="1" applyProtection="1">
      <alignment horizontal="right" vertical="center" shrinkToFit="1"/>
    </xf>
    <xf numFmtId="184" fontId="3" fillId="2" borderId="15" xfId="0" applyNumberFormat="1" applyFont="1" applyFill="1" applyBorder="1" applyAlignment="1" applyProtection="1">
      <alignment horizontal="righ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shrinkToFit="1"/>
    </xf>
    <xf numFmtId="180" fontId="3" fillId="0" borderId="36" xfId="0" applyNumberFormat="1" applyFont="1" applyFill="1" applyBorder="1" applyAlignment="1" applyProtection="1">
      <alignment horizontal="center" vertical="center" shrinkToFit="1"/>
    </xf>
    <xf numFmtId="176" fontId="3" fillId="6" borderId="14" xfId="0" applyNumberFormat="1" applyFont="1" applyFill="1" applyBorder="1" applyAlignment="1" applyProtection="1">
      <alignment horizontal="center" vertical="center" shrinkToFit="1"/>
    </xf>
    <xf numFmtId="176" fontId="3" fillId="6" borderId="7" xfId="0" applyNumberFormat="1" applyFont="1" applyFill="1" applyBorder="1" applyAlignment="1" applyProtection="1">
      <alignment horizontal="center" vertical="center" shrinkToFit="1"/>
    </xf>
    <xf numFmtId="176" fontId="3" fillId="6" borderId="13" xfId="0" applyNumberFormat="1" applyFont="1" applyFill="1" applyBorder="1" applyAlignment="1" applyProtection="1">
      <alignment horizontal="center" vertical="center" shrinkToFit="1"/>
    </xf>
    <xf numFmtId="176" fontId="3" fillId="0" borderId="36" xfId="0" applyNumberFormat="1" applyFont="1" applyFill="1" applyBorder="1" applyAlignment="1" applyProtection="1">
      <alignment horizontal="center" vertical="center" shrinkToFit="1"/>
    </xf>
    <xf numFmtId="184" fontId="3" fillId="0" borderId="14" xfId="0" applyNumberFormat="1" applyFont="1" applyFill="1" applyBorder="1" applyAlignment="1" applyProtection="1">
      <alignment horizontal="center" vertical="center" shrinkToFit="1"/>
    </xf>
    <xf numFmtId="184" fontId="3" fillId="0" borderId="7" xfId="0" applyNumberFormat="1" applyFont="1" applyFill="1" applyBorder="1" applyAlignment="1" applyProtection="1">
      <alignment horizontal="center" vertical="center" shrinkToFit="1"/>
    </xf>
    <xf numFmtId="184" fontId="3" fillId="0" borderId="15" xfId="0" applyNumberFormat="1" applyFont="1" applyFill="1" applyBorder="1" applyAlignment="1" applyProtection="1">
      <alignment horizontal="center" vertical="center" shrinkToFit="1"/>
    </xf>
    <xf numFmtId="184" fontId="3" fillId="0" borderId="7" xfId="1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 applyProtection="1">
      <alignment horizontal="center" vertical="center" shrinkToFit="1"/>
    </xf>
    <xf numFmtId="176" fontId="3" fillId="0" borderId="7" xfId="0" applyNumberFormat="1" applyFont="1" applyFill="1" applyBorder="1" applyAlignment="1" applyProtection="1">
      <alignment horizontal="center" vertical="center" shrinkToFit="1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80" fontId="3" fillId="0" borderId="36" xfId="1" applyNumberFormat="1" applyFont="1" applyFill="1" applyBorder="1" applyAlignment="1" applyProtection="1">
      <alignment horizontal="center" vertical="center"/>
    </xf>
    <xf numFmtId="176" fontId="3" fillId="0" borderId="43" xfId="1" applyNumberFormat="1" applyFont="1" applyFill="1" applyBorder="1" applyAlignment="1" applyProtection="1">
      <alignment horizontal="center" vertical="center"/>
    </xf>
    <xf numFmtId="176" fontId="3" fillId="6" borderId="14" xfId="1" applyNumberFormat="1" applyFont="1" applyFill="1" applyBorder="1" applyAlignment="1" applyProtection="1">
      <alignment horizontal="center" vertical="center"/>
    </xf>
    <xf numFmtId="176" fontId="3" fillId="6" borderId="7" xfId="1" applyNumberFormat="1" applyFont="1" applyFill="1" applyBorder="1" applyAlignment="1" applyProtection="1">
      <alignment horizontal="center" vertical="center"/>
    </xf>
    <xf numFmtId="176" fontId="3" fillId="6" borderId="13" xfId="1" applyNumberFormat="1" applyFont="1" applyFill="1" applyBorder="1" applyAlignment="1" applyProtection="1">
      <alignment horizontal="center" vertical="center"/>
    </xf>
    <xf numFmtId="176" fontId="3" fillId="0" borderId="36" xfId="1" applyNumberFormat="1" applyFont="1" applyFill="1" applyBorder="1" applyAlignment="1" applyProtection="1">
      <alignment horizontal="center" vertical="center"/>
    </xf>
    <xf numFmtId="184" fontId="3" fillId="0" borderId="14" xfId="1" applyNumberFormat="1" applyFont="1" applyFill="1" applyBorder="1" applyAlignment="1" applyProtection="1">
      <alignment horizontal="center" vertical="center"/>
    </xf>
    <xf numFmtId="182" fontId="7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left" vertical="center"/>
    </xf>
    <xf numFmtId="187" fontId="6" fillId="0" borderId="0" xfId="0" applyNumberFormat="1" applyFont="1" applyFill="1" applyAlignment="1">
      <alignment horizontal="left" vertical="center" shrinkToFit="1"/>
    </xf>
    <xf numFmtId="0" fontId="7" fillId="3" borderId="41" xfId="3" applyFont="1" applyFill="1" applyBorder="1" applyAlignment="1">
      <alignment horizontal="center" vertical="center"/>
    </xf>
    <xf numFmtId="0" fontId="7" fillId="0" borderId="116" xfId="3" applyFont="1" applyFill="1" applyBorder="1" applyAlignment="1">
      <alignment horizontal="center" vertical="center" wrapText="1"/>
    </xf>
    <xf numFmtId="0" fontId="7" fillId="0" borderId="41" xfId="3" applyFont="1" applyFill="1" applyBorder="1" applyAlignment="1">
      <alignment horizontal="center" vertical="center"/>
    </xf>
    <xf numFmtId="0" fontId="7" fillId="0" borderId="117" xfId="3" applyFont="1" applyFill="1" applyBorder="1" applyAlignment="1">
      <alignment horizontal="center" vertical="center"/>
    </xf>
    <xf numFmtId="0" fontId="7" fillId="0" borderId="118" xfId="3" applyFont="1" applyFill="1" applyBorder="1" applyAlignment="1">
      <alignment horizontal="center" vertical="center"/>
    </xf>
    <xf numFmtId="0" fontId="7" fillId="0" borderId="119" xfId="3" applyFont="1" applyFill="1" applyBorder="1" applyAlignment="1">
      <alignment horizontal="center" vertical="center"/>
    </xf>
    <xf numFmtId="0" fontId="18" fillId="0" borderId="120" xfId="3" applyFont="1" applyBorder="1" applyAlignment="1">
      <alignment horizontal="center" vertical="center" wrapText="1"/>
    </xf>
    <xf numFmtId="0" fontId="7" fillId="3" borderId="121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 wrapText="1"/>
    </xf>
    <xf numFmtId="0" fontId="7" fillId="0" borderId="121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 wrapText="1"/>
    </xf>
    <xf numFmtId="0" fontId="7" fillId="0" borderId="30" xfId="3" applyFont="1" applyBorder="1" applyAlignment="1">
      <alignment horizontal="center" vertical="center" wrapText="1"/>
    </xf>
    <xf numFmtId="185" fontId="3" fillId="8" borderId="122" xfId="0" applyNumberFormat="1" applyFont="1" applyFill="1" applyBorder="1" applyAlignment="1">
      <alignment horizontal="center" vertical="center"/>
    </xf>
    <xf numFmtId="185" fontId="27" fillId="8" borderId="123" xfId="0" applyNumberFormat="1" applyFont="1" applyFill="1" applyBorder="1" applyAlignment="1">
      <alignment horizontal="center" vertical="center"/>
    </xf>
    <xf numFmtId="184" fontId="28" fillId="0" borderId="94" xfId="0" applyNumberFormat="1" applyFont="1" applyFill="1" applyBorder="1" applyAlignment="1">
      <alignment vertical="center"/>
    </xf>
    <xf numFmtId="184" fontId="28" fillId="0" borderId="124" xfId="0" applyNumberFormat="1" applyFont="1" applyFill="1" applyBorder="1" applyAlignment="1">
      <alignment vertical="center"/>
    </xf>
    <xf numFmtId="184" fontId="27" fillId="8" borderId="122" xfId="0" applyNumberFormat="1" applyFont="1" applyFill="1" applyBorder="1" applyAlignment="1">
      <alignment horizontal="center" vertical="center"/>
    </xf>
    <xf numFmtId="184" fontId="25" fillId="0" borderId="125" xfId="0" applyNumberFormat="1" applyFont="1" applyFill="1" applyBorder="1" applyAlignment="1">
      <alignment vertical="center"/>
    </xf>
    <xf numFmtId="185" fontId="3" fillId="8" borderId="115" xfId="0" applyNumberFormat="1" applyFont="1" applyFill="1" applyBorder="1" applyAlignment="1">
      <alignment horizontal="center" vertical="center"/>
    </xf>
    <xf numFmtId="184" fontId="28" fillId="0" borderId="126" xfId="0" applyNumberFormat="1" applyFont="1" applyFill="1" applyBorder="1" applyAlignment="1">
      <alignment vertical="center"/>
    </xf>
    <xf numFmtId="185" fontId="3" fillId="8" borderId="129" xfId="0" applyNumberFormat="1" applyFont="1" applyFill="1" applyBorder="1" applyAlignment="1">
      <alignment horizontal="center" vertical="center"/>
    </xf>
    <xf numFmtId="185" fontId="27" fillId="8" borderId="23" xfId="0" applyNumberFormat="1" applyFont="1" applyFill="1" applyBorder="1" applyAlignment="1">
      <alignment horizontal="center" vertical="center"/>
    </xf>
    <xf numFmtId="184" fontId="28" fillId="0" borderId="11" xfId="0" applyNumberFormat="1" applyFont="1" applyFill="1" applyBorder="1" applyAlignment="1">
      <alignment vertical="center"/>
    </xf>
    <xf numFmtId="184" fontId="28" fillId="0" borderId="103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 applyProtection="1">
      <alignment horizontal="center" vertical="center"/>
    </xf>
    <xf numFmtId="187" fontId="7" fillId="0" borderId="127" xfId="0" applyNumberFormat="1" applyFont="1" applyFill="1" applyBorder="1" applyAlignment="1" applyProtection="1">
      <alignment vertical="center" shrinkToFit="1"/>
    </xf>
    <xf numFmtId="178" fontId="7" fillId="2" borderId="6" xfId="0" applyNumberFormat="1" applyFont="1" applyFill="1" applyBorder="1" applyAlignment="1" applyProtection="1">
      <alignment horizontal="center" vertical="center"/>
    </xf>
    <xf numFmtId="187" fontId="7" fillId="2" borderId="127" xfId="0" applyNumberFormat="1" applyFont="1" applyFill="1" applyBorder="1" applyAlignment="1" applyProtection="1">
      <alignment vertical="center" shrinkToFit="1"/>
    </xf>
    <xf numFmtId="187" fontId="7" fillId="0" borderId="127" xfId="1" applyNumberFormat="1" applyFont="1" applyFill="1" applyBorder="1" applyAlignment="1" applyProtection="1">
      <alignment vertical="center"/>
    </xf>
    <xf numFmtId="187" fontId="7" fillId="2" borderId="127" xfId="1" applyNumberFormat="1" applyFont="1" applyFill="1" applyBorder="1" applyAlignment="1" applyProtection="1">
      <alignment vertical="center"/>
    </xf>
    <xf numFmtId="178" fontId="7" fillId="0" borderId="6" xfId="1" applyNumberFormat="1" applyFont="1" applyFill="1" applyBorder="1" applyAlignment="1" applyProtection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shrinkToFit="1"/>
    </xf>
    <xf numFmtId="187" fontId="7" fillId="2" borderId="127" xfId="0" applyNumberFormat="1" applyFont="1" applyFill="1" applyBorder="1" applyAlignment="1" applyProtection="1">
      <alignment horizontal="center" vertical="center" shrinkToFit="1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48" xfId="0" applyNumberFormat="1" applyFont="1" applyFill="1" applyBorder="1" applyAlignment="1" applyProtection="1">
      <alignment horizontal="center" vertical="center"/>
    </xf>
    <xf numFmtId="176" fontId="3" fillId="0" borderId="43" xfId="0" applyNumberFormat="1" applyFont="1" applyFill="1" applyBorder="1" applyAlignment="1" applyProtection="1">
      <alignment vertical="center" shrinkToFit="1"/>
    </xf>
    <xf numFmtId="176" fontId="3" fillId="0" borderId="44" xfId="0" applyNumberFormat="1" applyFont="1" applyFill="1" applyBorder="1" applyAlignment="1" applyProtection="1">
      <alignment vertical="center" shrinkToFit="1"/>
    </xf>
    <xf numFmtId="182" fontId="33" fillId="0" borderId="36" xfId="0" applyNumberFormat="1" applyFont="1" applyFill="1" applyBorder="1" applyAlignment="1" applyProtection="1">
      <alignment vertical="center" shrinkToFit="1"/>
    </xf>
    <xf numFmtId="182" fontId="33" fillId="6" borderId="36" xfId="0" applyNumberFormat="1" applyFont="1" applyFill="1" applyBorder="1" applyAlignment="1" applyProtection="1">
      <alignment vertical="center" shrinkToFit="1"/>
    </xf>
    <xf numFmtId="182" fontId="33" fillId="6" borderId="17" xfId="0" applyNumberFormat="1" applyFont="1" applyFill="1" applyBorder="1" applyAlignment="1" applyProtection="1">
      <alignment vertical="center" shrinkToFit="1"/>
    </xf>
    <xf numFmtId="182" fontId="33" fillId="2" borderId="36" xfId="0" applyNumberFormat="1" applyFont="1" applyFill="1" applyBorder="1" applyAlignment="1" applyProtection="1">
      <alignment vertical="center" shrinkToFit="1"/>
    </xf>
    <xf numFmtId="184" fontId="28" fillId="9" borderId="132" xfId="0" applyNumberFormat="1" applyFont="1" applyFill="1" applyBorder="1" applyAlignment="1">
      <alignment vertical="center"/>
    </xf>
    <xf numFmtId="184" fontId="3" fillId="9" borderId="132" xfId="0" applyNumberFormat="1" applyFont="1" applyFill="1" applyBorder="1" applyAlignment="1">
      <alignment vertical="center"/>
    </xf>
    <xf numFmtId="184" fontId="28" fillId="9" borderId="94" xfId="0" applyNumberFormat="1" applyFont="1" applyFill="1" applyBorder="1" applyAlignment="1">
      <alignment vertical="center"/>
    </xf>
    <xf numFmtId="184" fontId="3" fillId="9" borderId="94" xfId="0" applyNumberFormat="1" applyFont="1" applyFill="1" applyBorder="1" applyAlignment="1">
      <alignment vertical="center"/>
    </xf>
    <xf numFmtId="185" fontId="27" fillId="8" borderId="130" xfId="0" applyNumberFormat="1" applyFont="1" applyFill="1" applyBorder="1" applyAlignment="1">
      <alignment horizontal="center" vertical="center"/>
    </xf>
    <xf numFmtId="0" fontId="7" fillId="3" borderId="134" xfId="3" applyFont="1" applyFill="1" applyBorder="1" applyAlignment="1">
      <alignment horizontal="center" vertical="center"/>
    </xf>
    <xf numFmtId="0" fontId="7" fillId="0" borderId="131" xfId="3" applyFont="1" applyFill="1" applyBorder="1" applyAlignment="1">
      <alignment horizontal="center" vertical="center" wrapText="1"/>
    </xf>
    <xf numFmtId="0" fontId="7" fillId="0" borderId="134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35" xfId="3" applyFont="1" applyFill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3" borderId="133" xfId="3" applyFont="1" applyFill="1" applyBorder="1" applyAlignment="1">
      <alignment horizontal="center" vertical="center"/>
    </xf>
    <xf numFmtId="0" fontId="7" fillId="0" borderId="133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3" fillId="0" borderId="5" xfId="0" applyNumberFormat="1" applyFont="1" applyFill="1" applyBorder="1" applyAlignment="1" applyProtection="1">
      <alignment horizontal="center" vertical="center"/>
    </xf>
    <xf numFmtId="186" fontId="3" fillId="0" borderId="5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shrinkToFit="1"/>
    </xf>
    <xf numFmtId="0" fontId="33" fillId="0" borderId="4" xfId="0" applyFont="1" applyFill="1" applyBorder="1" applyAlignment="1" applyProtection="1">
      <alignment vertical="center" shrinkToFit="1"/>
    </xf>
    <xf numFmtId="0" fontId="33" fillId="0" borderId="5" xfId="0" applyFont="1" applyFill="1" applyBorder="1" applyAlignment="1" applyProtection="1">
      <alignment vertical="center" shrinkToFit="1"/>
    </xf>
    <xf numFmtId="182" fontId="7" fillId="12" borderId="6" xfId="0" applyNumberFormat="1" applyFont="1" applyFill="1" applyBorder="1" applyAlignment="1" applyProtection="1">
      <alignment horizontal="center" vertical="center" shrinkToFit="1"/>
    </xf>
    <xf numFmtId="182" fontId="7" fillId="2" borderId="6" xfId="0" applyNumberFormat="1" applyFont="1" applyFill="1" applyBorder="1" applyAlignment="1" applyProtection="1">
      <alignment horizontal="center" vertical="center" shrinkToFit="1"/>
    </xf>
    <xf numFmtId="178" fontId="7" fillId="0" borderId="17" xfId="0" applyNumberFormat="1" applyFont="1" applyFill="1" applyBorder="1" applyAlignment="1" applyProtection="1">
      <alignment horizontal="center" vertical="center"/>
    </xf>
    <xf numFmtId="178" fontId="7" fillId="2" borderId="17" xfId="0" applyNumberFormat="1" applyFont="1" applyFill="1" applyBorder="1" applyAlignment="1" applyProtection="1">
      <alignment horizontal="center" vertical="center"/>
    </xf>
    <xf numFmtId="178" fontId="7" fillId="0" borderId="17" xfId="1" applyNumberFormat="1" applyFont="1" applyFill="1" applyBorder="1" applyAlignment="1" applyProtection="1">
      <alignment horizontal="center" vertical="center"/>
    </xf>
    <xf numFmtId="178" fontId="7" fillId="2" borderId="17" xfId="0" applyNumberFormat="1" applyFont="1" applyFill="1" applyBorder="1" applyAlignment="1" applyProtection="1">
      <alignment horizontal="center" vertical="center" shrinkToFit="1"/>
    </xf>
    <xf numFmtId="182" fontId="7" fillId="12" borderId="13" xfId="0" applyNumberFormat="1" applyFont="1" applyFill="1" applyBorder="1" applyAlignment="1" applyProtection="1">
      <alignment horizontal="right" vertical="center" shrinkToFit="1"/>
    </xf>
    <xf numFmtId="182" fontId="7" fillId="2" borderId="13" xfId="0" applyNumberFormat="1" applyFont="1" applyFill="1" applyBorder="1" applyAlignment="1" applyProtection="1">
      <alignment horizontal="right" vertical="center" shrinkToFit="1"/>
    </xf>
    <xf numFmtId="0" fontId="3" fillId="6" borderId="1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0" fontId="7" fillId="5" borderId="21" xfId="0" applyFont="1" applyFill="1" applyBorder="1" applyAlignment="1" applyProtection="1">
      <alignment horizontal="center" vertical="center" wrapText="1" shrinkToFit="1"/>
    </xf>
    <xf numFmtId="0" fontId="7" fillId="5" borderId="24" xfId="0" applyFont="1" applyFill="1" applyBorder="1" applyAlignment="1" applyProtection="1">
      <alignment horizontal="center" vertical="center" wrapText="1" shrinkToFit="1"/>
    </xf>
    <xf numFmtId="0" fontId="7" fillId="0" borderId="104" xfId="3" applyFont="1" applyFill="1" applyBorder="1" applyAlignment="1">
      <alignment horizontal="center" vertical="center"/>
    </xf>
    <xf numFmtId="0" fontId="7" fillId="0" borderId="136" xfId="3" applyFont="1" applyFill="1" applyBorder="1" applyAlignment="1">
      <alignment horizontal="center" vertical="center"/>
    </xf>
    <xf numFmtId="0" fontId="7" fillId="3" borderId="101" xfId="3" applyFont="1" applyFill="1" applyBorder="1" applyAlignment="1">
      <alignment horizontal="center" vertical="center"/>
    </xf>
    <xf numFmtId="0" fontId="7" fillId="0" borderId="102" xfId="3" applyFont="1" applyFill="1" applyBorder="1" applyAlignment="1">
      <alignment horizontal="center" vertical="center" wrapText="1"/>
    </xf>
    <xf numFmtId="0" fontId="7" fillId="0" borderId="133" xfId="3" applyFont="1" applyFill="1" applyBorder="1" applyAlignment="1">
      <alignment horizontal="center" vertical="center" wrapText="1"/>
    </xf>
    <xf numFmtId="0" fontId="7" fillId="0" borderId="101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05" xfId="3" applyFont="1" applyFill="1" applyBorder="1" applyAlignment="1">
      <alignment horizontal="center" vertical="center" wrapText="1"/>
    </xf>
    <xf numFmtId="0" fontId="7" fillId="5" borderId="112" xfId="0" applyFont="1" applyFill="1" applyBorder="1" applyAlignment="1" applyProtection="1">
      <alignment horizontal="center" vertical="center" wrapText="1" shrinkToFit="1"/>
    </xf>
    <xf numFmtId="0" fontId="7" fillId="5" borderId="53" xfId="0" applyFont="1" applyFill="1" applyBorder="1" applyAlignment="1" applyProtection="1">
      <alignment horizontal="center" vertical="center" wrapText="1" shrinkToFit="1"/>
    </xf>
    <xf numFmtId="182" fontId="33" fillId="0" borderId="17" xfId="0" applyNumberFormat="1" applyFont="1" applyFill="1" applyBorder="1" applyAlignment="1" applyProtection="1">
      <alignment vertical="center" shrinkToFit="1"/>
    </xf>
    <xf numFmtId="182" fontId="33" fillId="2" borderId="17" xfId="0" applyNumberFormat="1" applyFont="1" applyFill="1" applyBorder="1" applyAlignment="1" applyProtection="1">
      <alignment vertical="center" shrinkToFit="1"/>
    </xf>
    <xf numFmtId="182" fontId="33" fillId="0" borderId="11" xfId="0" applyNumberFormat="1" applyFont="1" applyFill="1" applyBorder="1" applyAlignment="1" applyProtection="1">
      <alignment vertical="center" shrinkToFit="1"/>
    </xf>
    <xf numFmtId="178" fontId="7" fillId="0" borderId="137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7" fillId="6" borderId="112" xfId="0" applyFont="1" applyFill="1" applyBorder="1" applyAlignment="1" applyProtection="1">
      <alignment horizontal="center" vertical="center" wrapText="1" shrinkToFit="1"/>
    </xf>
    <xf numFmtId="0" fontId="7" fillId="6" borderId="53" xfId="0" applyFont="1" applyFill="1" applyBorder="1" applyAlignment="1" applyProtection="1">
      <alignment horizontal="center" vertical="center" wrapText="1" shrinkToFit="1"/>
    </xf>
    <xf numFmtId="182" fontId="33" fillId="6" borderId="17" xfId="0" applyNumberFormat="1" applyFont="1" applyFill="1" applyBorder="1" applyAlignment="1" applyProtection="1">
      <alignment horizontal="right" vertical="center" shrinkToFit="1"/>
    </xf>
    <xf numFmtId="182" fontId="7" fillId="6" borderId="17" xfId="0" applyNumberFormat="1" applyFont="1" applyFill="1" applyBorder="1" applyAlignment="1" applyProtection="1">
      <alignment vertical="center" shrinkToFit="1"/>
    </xf>
    <xf numFmtId="182" fontId="7" fillId="6" borderId="17" xfId="0" applyNumberFormat="1" applyFont="1" applyFill="1" applyBorder="1" applyAlignment="1" applyProtection="1">
      <alignment horizontal="center" vertical="center" shrinkToFit="1"/>
    </xf>
    <xf numFmtId="182" fontId="7" fillId="6" borderId="11" xfId="0" applyNumberFormat="1" applyFont="1" applyFill="1" applyBorder="1" applyAlignment="1" applyProtection="1">
      <alignment horizontal="center" vertical="center" shrinkToFit="1"/>
    </xf>
    <xf numFmtId="182" fontId="7" fillId="12" borderId="40" xfId="0" applyNumberFormat="1" applyFont="1" applyFill="1" applyBorder="1" applyAlignment="1" applyProtection="1">
      <alignment horizontal="center" vertical="center" shrinkToFit="1"/>
    </xf>
    <xf numFmtId="182" fontId="7" fillId="12" borderId="29" xfId="0" applyNumberFormat="1" applyFont="1" applyFill="1" applyBorder="1" applyAlignment="1" applyProtection="1">
      <alignment horizontal="right" vertical="center" shrinkToFit="1"/>
    </xf>
    <xf numFmtId="178" fontId="7" fillId="0" borderId="126" xfId="0" applyNumberFormat="1" applyFont="1" applyFill="1" applyBorder="1" applyAlignment="1" applyProtection="1">
      <alignment horizontal="center" vertical="center"/>
    </xf>
    <xf numFmtId="187" fontId="7" fillId="0" borderId="128" xfId="0" applyNumberFormat="1" applyFont="1" applyFill="1" applyBorder="1" applyAlignment="1" applyProtection="1">
      <alignment vertical="center" shrinkToFit="1"/>
    </xf>
    <xf numFmtId="182" fontId="33" fillId="2" borderId="11" xfId="0" applyNumberFormat="1" applyFont="1" applyFill="1" applyBorder="1" applyAlignment="1" applyProtection="1">
      <alignment vertical="center" shrinkToFit="1"/>
    </xf>
    <xf numFmtId="185" fontId="3" fillId="8" borderId="59" xfId="0" applyNumberFormat="1" applyFont="1" applyFill="1" applyBorder="1" applyAlignment="1">
      <alignment horizontal="center" vertical="center"/>
    </xf>
    <xf numFmtId="185" fontId="27" fillId="8" borderId="138" xfId="0" applyNumberFormat="1" applyFont="1" applyFill="1" applyBorder="1" applyAlignment="1">
      <alignment horizontal="center" vertical="center"/>
    </xf>
    <xf numFmtId="184" fontId="28" fillId="0" borderId="36" xfId="0" applyNumberFormat="1" applyFont="1" applyFill="1" applyBorder="1" applyAlignment="1">
      <alignment vertical="center"/>
    </xf>
    <xf numFmtId="185" fontId="27" fillId="8" borderId="139" xfId="0" applyNumberFormat="1" applyFont="1" applyFill="1" applyBorder="1" applyAlignment="1">
      <alignment horizontal="center" vertical="center"/>
    </xf>
    <xf numFmtId="184" fontId="28" fillId="9" borderId="12" xfId="0" applyNumberFormat="1" applyFont="1" applyFill="1" applyBorder="1" applyAlignment="1">
      <alignment vertical="center"/>
    </xf>
    <xf numFmtId="184" fontId="3" fillId="9" borderId="12" xfId="0" applyNumberFormat="1" applyFont="1" applyFill="1" applyBorder="1" applyAlignment="1">
      <alignment vertical="center"/>
    </xf>
    <xf numFmtId="184" fontId="28" fillId="0" borderId="38" xfId="0" applyNumberFormat="1" applyFont="1" applyFill="1" applyBorder="1" applyAlignment="1">
      <alignment vertical="center"/>
    </xf>
    <xf numFmtId="184" fontId="28" fillId="9" borderId="83" xfId="0" applyNumberFormat="1" applyFont="1" applyFill="1" applyBorder="1" applyAlignment="1">
      <alignment vertical="center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0" fontId="7" fillId="5" borderId="21" xfId="0" applyFont="1" applyFill="1" applyBorder="1" applyAlignment="1" applyProtection="1">
      <alignment horizontal="center" vertical="center" wrapText="1" shrinkToFit="1"/>
    </xf>
    <xf numFmtId="0" fontId="7" fillId="5" borderId="24" xfId="0" applyFont="1" applyFill="1" applyBorder="1" applyAlignment="1" applyProtection="1">
      <alignment horizontal="center" vertical="center" wrapText="1" shrinkToFit="1"/>
    </xf>
    <xf numFmtId="178" fontId="3" fillId="4" borderId="59" xfId="0" applyNumberFormat="1" applyFont="1" applyFill="1" applyBorder="1" applyAlignment="1" applyProtection="1">
      <alignment horizontal="centerContinuous" vertical="top"/>
    </xf>
    <xf numFmtId="178" fontId="3" fillId="4" borderId="60" xfId="0" applyNumberFormat="1" applyFont="1" applyFill="1" applyBorder="1" applyAlignment="1" applyProtection="1">
      <alignment horizontal="centerContinuous" vertical="top"/>
    </xf>
    <xf numFmtId="184" fontId="3" fillId="0" borderId="35" xfId="1" applyNumberFormat="1" applyFont="1" applyFill="1" applyBorder="1" applyAlignment="1" applyProtection="1">
      <alignment horizontal="right" vertical="center"/>
    </xf>
    <xf numFmtId="184" fontId="3" fillId="0" borderId="36" xfId="1" applyNumberFormat="1" applyFont="1" applyFill="1" applyBorder="1" applyAlignment="1" applyProtection="1">
      <alignment horizontal="right" vertical="center"/>
    </xf>
    <xf numFmtId="184" fontId="3" fillId="0" borderId="31" xfId="1" applyNumberFormat="1" applyFont="1" applyFill="1" applyBorder="1" applyAlignment="1" applyProtection="1">
      <alignment horizontal="right" vertical="center"/>
    </xf>
    <xf numFmtId="184" fontId="3" fillId="0" borderId="38" xfId="0" applyNumberFormat="1" applyFont="1" applyFill="1" applyBorder="1" applyAlignment="1" applyProtection="1">
      <alignment horizontal="right" vertical="center" shrinkToFit="1"/>
    </xf>
    <xf numFmtId="182" fontId="33" fillId="6" borderId="13" xfId="0" applyNumberFormat="1" applyFont="1" applyFill="1" applyBorder="1" applyAlignment="1" applyProtection="1">
      <alignment vertical="center" shrinkToFit="1"/>
    </xf>
    <xf numFmtId="182" fontId="33" fillId="0" borderId="13" xfId="0" applyNumberFormat="1" applyFont="1" applyFill="1" applyBorder="1" applyAlignment="1" applyProtection="1">
      <alignment vertical="center" shrinkToFit="1"/>
    </xf>
    <xf numFmtId="182" fontId="7" fillId="6" borderId="11" xfId="0" applyNumberFormat="1" applyFont="1" applyFill="1" applyBorder="1" applyAlignment="1" applyProtection="1">
      <alignment vertical="center" shrinkToFit="1"/>
    </xf>
    <xf numFmtId="182" fontId="33" fillId="0" borderId="17" xfId="0" applyNumberFormat="1" applyFont="1" applyFill="1" applyBorder="1" applyAlignment="1" applyProtection="1">
      <alignment horizontal="right" vertical="center" shrinkToFit="1"/>
    </xf>
    <xf numFmtId="0" fontId="7" fillId="14" borderId="25" xfId="0" applyFont="1" applyFill="1" applyBorder="1" applyAlignment="1" applyProtection="1">
      <alignment horizontal="center" vertical="center" wrapText="1" shrinkToFit="1"/>
    </xf>
    <xf numFmtId="0" fontId="7" fillId="14" borderId="22" xfId="0" applyFont="1" applyFill="1" applyBorder="1" applyAlignment="1" applyProtection="1">
      <alignment horizontal="center" vertical="center" wrapText="1" shrinkToFit="1"/>
    </xf>
    <xf numFmtId="0" fontId="7" fillId="14" borderId="21" xfId="0" applyFont="1" applyFill="1" applyBorder="1" applyAlignment="1" applyProtection="1">
      <alignment horizontal="center" vertical="center" wrapText="1" shrinkToFit="1"/>
    </xf>
    <xf numFmtId="0" fontId="7" fillId="14" borderId="112" xfId="0" applyFont="1" applyFill="1" applyBorder="1" applyAlignment="1" applyProtection="1">
      <alignment horizontal="center" vertical="center" wrapText="1" shrinkToFit="1"/>
    </xf>
    <xf numFmtId="0" fontId="7" fillId="14" borderId="23" xfId="0" applyFont="1" applyFill="1" applyBorder="1" applyAlignment="1" applyProtection="1">
      <alignment horizontal="center" vertical="center" wrapText="1" shrinkToFit="1"/>
    </xf>
    <xf numFmtId="0" fontId="7" fillId="14" borderId="15" xfId="0" applyFont="1" applyFill="1" applyBorder="1" applyAlignment="1" applyProtection="1">
      <alignment horizontal="center" vertical="center" wrapText="1" shrinkToFit="1"/>
    </xf>
    <xf numFmtId="0" fontId="7" fillId="14" borderId="24" xfId="0" applyFont="1" applyFill="1" applyBorder="1" applyAlignment="1" applyProtection="1">
      <alignment horizontal="center" vertical="center" wrapText="1" shrinkToFit="1"/>
    </xf>
    <xf numFmtId="0" fontId="7" fillId="14" borderId="53" xfId="0" applyFont="1" applyFill="1" applyBorder="1" applyAlignment="1" applyProtection="1">
      <alignment horizontal="center" vertical="center" wrapText="1" shrinkToFit="1"/>
    </xf>
    <xf numFmtId="178" fontId="7" fillId="14" borderId="6" xfId="0" applyNumberFormat="1" applyFont="1" applyFill="1" applyBorder="1" applyAlignment="1" applyProtection="1">
      <alignment horizontal="center" vertical="center" wrapText="1"/>
    </xf>
    <xf numFmtId="187" fontId="7" fillId="14" borderId="127" xfId="0" applyNumberFormat="1" applyFont="1" applyFill="1" applyBorder="1" applyAlignment="1" applyProtection="1">
      <alignment horizontal="center" vertical="center" wrapText="1" shrinkToFit="1"/>
    </xf>
    <xf numFmtId="0" fontId="7" fillId="14" borderId="28" xfId="0" applyFont="1" applyFill="1" applyBorder="1" applyAlignment="1" applyProtection="1">
      <alignment horizontal="center" vertical="center" wrapText="1" shrinkToFit="1"/>
    </xf>
    <xf numFmtId="0" fontId="7" fillId="14" borderId="20" xfId="0" applyFont="1" applyFill="1" applyBorder="1" applyAlignment="1" applyProtection="1">
      <alignment horizontal="center" vertical="center" wrapText="1" shrinkToFit="1"/>
    </xf>
    <xf numFmtId="0" fontId="7" fillId="14" borderId="25" xfId="0" applyFont="1" applyFill="1" applyBorder="1" applyAlignment="1" applyProtection="1">
      <alignment horizontal="center" vertical="center" wrapText="1" shrinkToFit="1"/>
    </xf>
    <xf numFmtId="0" fontId="7" fillId="14" borderId="15" xfId="0" applyFont="1" applyFill="1" applyBorder="1" applyAlignment="1" applyProtection="1">
      <alignment horizontal="center" vertical="center" wrapText="1" shrinkToFit="1"/>
    </xf>
    <xf numFmtId="49" fontId="7" fillId="14" borderId="11" xfId="0" applyNumberFormat="1" applyFont="1" applyFill="1" applyBorder="1" applyAlignment="1" applyProtection="1">
      <alignment horizontal="center" vertical="center" wrapText="1" shrinkToFit="1"/>
    </xf>
    <xf numFmtId="0" fontId="7" fillId="14" borderId="49" xfId="0" applyFont="1" applyFill="1" applyBorder="1" applyAlignment="1" applyProtection="1">
      <alignment horizontal="center" vertical="center" wrapText="1" shrinkToFit="1"/>
    </xf>
    <xf numFmtId="0" fontId="7" fillId="14" borderId="30" xfId="0" applyFont="1" applyFill="1" applyBorder="1" applyAlignment="1" applyProtection="1">
      <alignment horizontal="center" vertical="center" wrapText="1" shrinkToFit="1"/>
    </xf>
    <xf numFmtId="0" fontId="7" fillId="14" borderId="21" xfId="0" applyFont="1" applyFill="1" applyBorder="1" applyAlignment="1" applyProtection="1">
      <alignment horizontal="center" vertical="center" wrapText="1" shrinkToFit="1"/>
    </xf>
    <xf numFmtId="0" fontId="7" fillId="14" borderId="24" xfId="0" applyFont="1" applyFill="1" applyBorder="1" applyAlignment="1" applyProtection="1">
      <alignment horizontal="center" vertical="center" wrapText="1" shrinkToFit="1"/>
    </xf>
    <xf numFmtId="177" fontId="7" fillId="14" borderId="6" xfId="0" applyNumberFormat="1" applyFont="1" applyFill="1" applyBorder="1" applyAlignment="1" applyProtection="1">
      <alignment horizontal="center" vertical="center" wrapText="1" shrinkToFit="1"/>
    </xf>
    <xf numFmtId="177" fontId="7" fillId="14" borderId="36" xfId="0" applyNumberFormat="1" applyFont="1" applyFill="1" applyBorder="1" applyAlignment="1" applyProtection="1">
      <alignment horizontal="center" vertical="center" wrapText="1" shrinkToFit="1"/>
    </xf>
    <xf numFmtId="181" fontId="4" fillId="0" borderId="0" xfId="0" applyNumberFormat="1" applyFont="1" applyFill="1" applyBorder="1" applyAlignment="1">
      <alignment horizontal="right"/>
    </xf>
    <xf numFmtId="0" fontId="3" fillId="3" borderId="69" xfId="0" applyFont="1" applyFill="1" applyBorder="1" applyAlignment="1" applyProtection="1">
      <alignment horizontal="center" vertical="center"/>
    </xf>
    <xf numFmtId="0" fontId="3" fillId="3" borderId="70" xfId="0" applyFont="1" applyFill="1" applyBorder="1" applyAlignment="1" applyProtection="1">
      <alignment horizontal="center" vertical="center"/>
    </xf>
    <xf numFmtId="0" fontId="3" fillId="3" borderId="71" xfId="0" applyFont="1" applyFill="1" applyBorder="1" applyAlignment="1" applyProtection="1">
      <alignment horizontal="center" vertical="center"/>
    </xf>
    <xf numFmtId="0" fontId="3" fillId="3" borderId="72" xfId="0" applyFont="1" applyFill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</xf>
    <xf numFmtId="0" fontId="3" fillId="3" borderId="74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 shrinkToFit="1"/>
    </xf>
    <xf numFmtId="0" fontId="3" fillId="3" borderId="75" xfId="0" applyFont="1" applyFill="1" applyBorder="1" applyAlignment="1" applyProtection="1">
      <alignment horizontal="center" vertical="center" shrinkToFit="1"/>
    </xf>
    <xf numFmtId="0" fontId="32" fillId="0" borderId="0" xfId="3" applyFont="1" applyBorder="1" applyAlignment="1">
      <alignment horizontal="left" vertical="center"/>
    </xf>
    <xf numFmtId="0" fontId="18" fillId="3" borderId="95" xfId="3" applyFont="1" applyFill="1" applyBorder="1" applyAlignment="1">
      <alignment horizontal="center" vertical="center" textRotation="255"/>
    </xf>
    <xf numFmtId="0" fontId="18" fillId="3" borderId="96" xfId="3" applyFont="1" applyFill="1" applyBorder="1" applyAlignment="1">
      <alignment horizontal="center" vertical="center" textRotation="255"/>
    </xf>
    <xf numFmtId="0" fontId="18" fillId="3" borderId="1" xfId="3" applyFont="1" applyFill="1" applyBorder="1" applyAlignment="1">
      <alignment horizontal="center" vertical="center" wrapText="1"/>
    </xf>
    <xf numFmtId="0" fontId="18" fillId="3" borderId="97" xfId="3" applyFont="1" applyFill="1" applyBorder="1" applyAlignment="1">
      <alignment horizontal="center" vertical="center" wrapText="1"/>
    </xf>
    <xf numFmtId="0" fontId="18" fillId="3" borderId="95" xfId="3" applyFont="1" applyFill="1" applyBorder="1" applyAlignment="1">
      <alignment horizontal="center" vertical="center" wrapText="1"/>
    </xf>
    <xf numFmtId="0" fontId="18" fillId="3" borderId="96" xfId="3" applyFont="1" applyFill="1" applyBorder="1" applyAlignment="1">
      <alignment horizontal="center" vertical="center" wrapText="1"/>
    </xf>
    <xf numFmtId="0" fontId="18" fillId="3" borderId="18" xfId="3" applyFont="1" applyFill="1" applyBorder="1" applyAlignment="1">
      <alignment horizontal="center" vertical="center"/>
    </xf>
    <xf numFmtId="0" fontId="18" fillId="3" borderId="31" xfId="3" applyFont="1" applyFill="1" applyBorder="1" applyAlignment="1">
      <alignment horizontal="center" vertical="center"/>
    </xf>
    <xf numFmtId="0" fontId="18" fillId="3" borderId="16" xfId="3" applyFont="1" applyFill="1" applyBorder="1" applyAlignment="1">
      <alignment horizontal="center" vertical="center"/>
    </xf>
    <xf numFmtId="0" fontId="18" fillId="3" borderId="63" xfId="3" applyFont="1" applyFill="1" applyBorder="1" applyAlignment="1">
      <alignment horizontal="center" vertical="center" wrapText="1"/>
    </xf>
    <xf numFmtId="0" fontId="18" fillId="3" borderId="106" xfId="3" applyFont="1" applyFill="1" applyBorder="1" applyAlignment="1">
      <alignment horizontal="center" vertical="center"/>
    </xf>
    <xf numFmtId="0" fontId="18" fillId="3" borderId="65" xfId="3" applyFont="1" applyFill="1" applyBorder="1" applyAlignment="1">
      <alignment horizontal="center" vertical="center" wrapText="1"/>
    </xf>
    <xf numFmtId="0" fontId="18" fillId="3" borderId="107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5" borderId="25" xfId="0" applyFont="1" applyFill="1" applyBorder="1" applyAlignment="1" applyProtection="1">
      <alignment horizontal="center" vertical="center" wrapText="1" shrinkToFit="1"/>
    </xf>
    <xf numFmtId="0" fontId="7" fillId="5" borderId="15" xfId="0" applyFont="1" applyFill="1" applyBorder="1" applyAlignment="1" applyProtection="1">
      <alignment horizontal="center" vertical="center" wrapText="1" shrinkToFit="1"/>
    </xf>
    <xf numFmtId="0" fontId="7" fillId="5" borderId="21" xfId="0" applyFont="1" applyFill="1" applyBorder="1" applyAlignment="1" applyProtection="1">
      <alignment horizontal="center" vertical="center" wrapText="1" shrinkToFit="1"/>
    </xf>
    <xf numFmtId="0" fontId="7" fillId="5" borderId="24" xfId="0" applyFont="1" applyFill="1" applyBorder="1" applyAlignment="1" applyProtection="1">
      <alignment horizontal="center" vertical="center" wrapText="1" shrinkToFit="1"/>
    </xf>
    <xf numFmtId="0" fontId="7" fillId="5" borderId="28" xfId="0" applyFont="1" applyFill="1" applyBorder="1" applyAlignment="1" applyProtection="1">
      <alignment horizontal="center" vertical="center" wrapText="1" shrinkToFit="1"/>
    </xf>
    <xf numFmtId="0" fontId="7" fillId="5" borderId="20" xfId="0" applyFont="1" applyFill="1" applyBorder="1" applyAlignment="1" applyProtection="1">
      <alignment horizontal="center" vertical="center" wrapText="1" shrinkToFit="1"/>
    </xf>
    <xf numFmtId="177" fontId="7" fillId="5" borderId="6" xfId="0" applyNumberFormat="1" applyFont="1" applyFill="1" applyBorder="1" applyAlignment="1" applyProtection="1">
      <alignment horizontal="center" vertical="center" wrapText="1" shrinkToFit="1"/>
    </xf>
    <xf numFmtId="177" fontId="7" fillId="5" borderId="17" xfId="0" applyNumberFormat="1" applyFont="1" applyFill="1" applyBorder="1" applyAlignment="1" applyProtection="1">
      <alignment horizontal="center" vertical="center" wrapText="1" shrinkToFit="1"/>
    </xf>
    <xf numFmtId="0" fontId="7" fillId="12" borderId="6" xfId="0" applyFont="1" applyFill="1" applyBorder="1" applyAlignment="1" applyProtection="1">
      <alignment horizontal="center" vertical="center" wrapText="1" shrinkToFit="1"/>
    </xf>
    <xf numFmtId="0" fontId="7" fillId="12" borderId="36" xfId="0" applyFont="1" applyFill="1" applyBorder="1" applyAlignment="1" applyProtection="1">
      <alignment horizontal="center" vertical="center" wrapText="1" shrinkToFit="1"/>
    </xf>
    <xf numFmtId="49" fontId="7" fillId="5" borderId="11" xfId="0" applyNumberFormat="1" applyFont="1" applyFill="1" applyBorder="1" applyAlignment="1" applyProtection="1">
      <alignment horizontal="center" vertical="center" wrapText="1" shrinkToFit="1"/>
    </xf>
    <xf numFmtId="0" fontId="7" fillId="5" borderId="49" xfId="0" applyFont="1" applyFill="1" applyBorder="1" applyAlignment="1" applyProtection="1">
      <alignment horizontal="center" vertical="center" wrapText="1" shrinkToFit="1"/>
    </xf>
    <xf numFmtId="0" fontId="7" fillId="5" borderId="30" xfId="0" applyFont="1" applyFill="1" applyBorder="1" applyAlignment="1" applyProtection="1">
      <alignment horizontal="center" vertical="center" wrapText="1" shrinkToFit="1"/>
    </xf>
    <xf numFmtId="0" fontId="7" fillId="0" borderId="22" xfId="0" applyFont="1" applyFill="1" applyBorder="1" applyAlignment="1" applyProtection="1">
      <alignment horizontal="center" vertical="center" wrapText="1" shrinkToFit="1"/>
    </xf>
    <xf numFmtId="0" fontId="7" fillId="0" borderId="108" xfId="0" applyFont="1" applyFill="1" applyBorder="1" applyAlignment="1" applyProtection="1">
      <alignment horizontal="center" vertical="center" wrapText="1" shrinkToFit="1"/>
    </xf>
    <xf numFmtId="0" fontId="27" fillId="8" borderId="65" xfId="0" applyFont="1" applyFill="1" applyBorder="1" applyAlignment="1">
      <alignment horizontal="center" vertical="center" shrinkToFit="1"/>
    </xf>
    <xf numFmtId="0" fontId="27" fillId="8" borderId="30" xfId="0" applyFont="1" applyFill="1" applyBorder="1" applyAlignment="1">
      <alignment horizontal="center" vertical="center" shrinkToFit="1"/>
    </xf>
    <xf numFmtId="0" fontId="27" fillId="8" borderId="64" xfId="0" applyFont="1" applyFill="1" applyBorder="1" applyAlignment="1">
      <alignment horizontal="center" vertical="center" shrinkToFit="1"/>
    </xf>
    <xf numFmtId="0" fontId="27" fillId="8" borderId="15" xfId="0" applyFont="1" applyFill="1" applyBorder="1" applyAlignment="1">
      <alignment horizontal="center" vertical="center" shrinkToFit="1"/>
    </xf>
    <xf numFmtId="49" fontId="27" fillId="8" borderId="63" xfId="0" applyNumberFormat="1" applyFont="1" applyFill="1" applyBorder="1" applyAlignment="1">
      <alignment horizontal="center" vertical="center" wrapText="1"/>
    </xf>
    <xf numFmtId="49" fontId="27" fillId="8" borderId="20" xfId="0" applyNumberFormat="1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shrinkToFit="1"/>
    </xf>
    <xf numFmtId="0" fontId="3" fillId="8" borderId="30" xfId="0" applyFont="1" applyFill="1" applyBorder="1" applyAlignment="1">
      <alignment horizontal="center" vertical="center" shrinkToFit="1"/>
    </xf>
    <xf numFmtId="49" fontId="3" fillId="8" borderId="63" xfId="0" applyNumberFormat="1" applyFont="1" applyFill="1" applyBorder="1" applyAlignment="1">
      <alignment horizontal="center" vertical="center" wrapText="1"/>
    </xf>
    <xf numFmtId="49" fontId="3" fillId="8" borderId="20" xfId="0" applyNumberFormat="1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shrinkToFit="1"/>
    </xf>
    <xf numFmtId="0" fontId="3" fillId="8" borderId="15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測量H18" xfId="1" xr:uid="{00000000-0005-0000-0000-000003000000}"/>
  </cellStyles>
  <dxfs count="0"/>
  <tableStyles count="0" defaultTableStyle="TableStyleMedium2" defaultPivotStyle="PivotStyleLight16"/>
  <colors>
    <mruColors>
      <color rgb="FFB0DD7F"/>
      <color rgb="FF99FF99"/>
      <color rgb="FFFFFFCC"/>
      <color rgb="FFEBFF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408565427715"/>
          <c:y val="9.6847059858574086E-2"/>
          <c:w val="0.78309966865601432"/>
          <c:h val="0.67342490459799187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【参考】測量データ!$B$23</c:f>
              <c:strCache>
                <c:ptCount val="1"/>
                <c:pt idx="0">
                  <c:v>16.白)本通1丁目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【参考】測量データ!$D$23:$AM$23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5</c:v>
                </c:pt>
                <c:pt idx="4">
                  <c:v>10.199999999999999</c:v>
                </c:pt>
                <c:pt idx="5">
                  <c:v>-4.5</c:v>
                </c:pt>
                <c:pt idx="6">
                  <c:v>-7.9</c:v>
                </c:pt>
                <c:pt idx="7">
                  <c:v>-10.9</c:v>
                </c:pt>
                <c:pt idx="8">
                  <c:v>-8.1000000000000014</c:v>
                </c:pt>
                <c:pt idx="9">
                  <c:v>-8.9000000000000021</c:v>
                </c:pt>
                <c:pt idx="10">
                  <c:v>-11.100000000000001</c:v>
                </c:pt>
                <c:pt idx="11">
                  <c:v>-7.6000000000000014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-25.400000000000002</c:v>
                </c:pt>
                <c:pt idx="18">
                  <c:v>#N/A</c:v>
                </c:pt>
                <c:pt idx="19">
                  <c:v>#N/A</c:v>
                </c:pt>
                <c:pt idx="20">
                  <c:v>-26.500000000000004</c:v>
                </c:pt>
                <c:pt idx="21">
                  <c:v>#N/A</c:v>
                </c:pt>
                <c:pt idx="22">
                  <c:v>#N/A</c:v>
                </c:pt>
                <c:pt idx="23">
                  <c:v>-28.300000000000004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-35.800000000000004</c:v>
                </c:pt>
                <c:pt idx="30">
                  <c:v>#N/A</c:v>
                </c:pt>
                <c:pt idx="31">
                  <c:v>-50.2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-47.1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97A-40BE-8F24-74ED8CE15A26}"/>
            </c:ext>
          </c:extLst>
        </c:ser>
        <c:ser>
          <c:idx val="2"/>
          <c:order val="1"/>
          <c:tx>
            <c:strRef>
              <c:f>【参考】測量データ!$B$24</c:f>
              <c:strCache>
                <c:ptCount val="1"/>
                <c:pt idx="0">
                  <c:v>17.白)本通14丁目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【参考】測量データ!$D$24:$AM$24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8.6999999999999993</c:v>
                </c:pt>
                <c:pt idx="5">
                  <c:v>-5.6000000000000014</c:v>
                </c:pt>
                <c:pt idx="6">
                  <c:v>-10.000000000000002</c:v>
                </c:pt>
                <c:pt idx="7">
                  <c:v>-17.100000000000001</c:v>
                </c:pt>
                <c:pt idx="8">
                  <c:v>#N/A</c:v>
                </c:pt>
                <c:pt idx="9">
                  <c:v>-14.8</c:v>
                </c:pt>
                <c:pt idx="10">
                  <c:v>#N/A</c:v>
                </c:pt>
                <c:pt idx="11">
                  <c:v>-12.3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-33.299999999999997</c:v>
                </c:pt>
                <c:pt idx="18">
                  <c:v>#N/A</c:v>
                </c:pt>
                <c:pt idx="19">
                  <c:v>#N/A</c:v>
                </c:pt>
                <c:pt idx="20">
                  <c:v>-33.9</c:v>
                </c:pt>
                <c:pt idx="21">
                  <c:v>#N/A</c:v>
                </c:pt>
                <c:pt idx="22">
                  <c:v>#N/A</c:v>
                </c:pt>
                <c:pt idx="23">
                  <c:v>-35.9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-60.099999999999994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97A-40BE-8F24-74ED8CE15A26}"/>
            </c:ext>
          </c:extLst>
        </c:ser>
        <c:ser>
          <c:idx val="3"/>
          <c:order val="2"/>
          <c:tx>
            <c:strRef>
              <c:f>【参考】測量データ!$B$25</c:f>
              <c:strCache>
                <c:ptCount val="1"/>
                <c:pt idx="0">
                  <c:v>18.豊)西岡2条9丁目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【参考】測量データ!$D$25:$AM$25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-0.5</c:v>
                </c:pt>
                <c:pt idx="8">
                  <c:v>#N/A</c:v>
                </c:pt>
                <c:pt idx="9">
                  <c:v>-7.4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-9.6999999999999993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-7.7999999999999989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-21.4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97A-40BE-8F24-74ED8CE15A26}"/>
            </c:ext>
          </c:extLst>
        </c:ser>
        <c:ser>
          <c:idx val="5"/>
          <c:order val="3"/>
          <c:tx>
            <c:strRef>
              <c:f>【参考】測量データ!$B$26</c:f>
              <c:strCache>
                <c:ptCount val="1"/>
                <c:pt idx="0">
                  <c:v>19.厚)厚別南6丁目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【参考】測量データ!$D$26:$AM$26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2.6</c:v>
                </c:pt>
                <c:pt idx="4">
                  <c:v>5.9</c:v>
                </c:pt>
                <c:pt idx="5">
                  <c:v>-5.7999999999999989</c:v>
                </c:pt>
                <c:pt idx="6">
                  <c:v>-10.799999999999999</c:v>
                </c:pt>
                <c:pt idx="7">
                  <c:v>-23.7</c:v>
                </c:pt>
                <c:pt idx="8">
                  <c:v>#N/A</c:v>
                </c:pt>
                <c:pt idx="9">
                  <c:v>-28.4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-50.099999999999994</c:v>
                </c:pt>
                <c:pt idx="18">
                  <c:v>#N/A</c:v>
                </c:pt>
                <c:pt idx="19">
                  <c:v>#N/A</c:v>
                </c:pt>
                <c:pt idx="20">
                  <c:v>-59.999999999999993</c:v>
                </c:pt>
                <c:pt idx="21">
                  <c:v>#N/A</c:v>
                </c:pt>
                <c:pt idx="22">
                  <c:v>#N/A</c:v>
                </c:pt>
                <c:pt idx="23">
                  <c:v>-67.399999999999991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-97.299999999999983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97A-40BE-8F24-74ED8CE15A26}"/>
            </c:ext>
          </c:extLst>
        </c:ser>
        <c:ser>
          <c:idx val="0"/>
          <c:order val="4"/>
          <c:tx>
            <c:strRef>
              <c:f>【参考】測量データ!$B$27</c:f>
              <c:strCache>
                <c:ptCount val="1"/>
                <c:pt idx="0">
                  <c:v>20.厚)厚別中央4条3丁目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【参考】測量データ!$D$27:$AM$27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5.4</c:v>
                </c:pt>
                <c:pt idx="5">
                  <c:v>-9.6999999999999993</c:v>
                </c:pt>
                <c:pt idx="6">
                  <c:v>-11.6</c:v>
                </c:pt>
                <c:pt idx="7">
                  <c:v>-27.1</c:v>
                </c:pt>
                <c:pt idx="8">
                  <c:v>-23.900000000000002</c:v>
                </c:pt>
                <c:pt idx="9">
                  <c:v>-23.700000000000003</c:v>
                </c:pt>
                <c:pt idx="10">
                  <c:v>#N/A</c:v>
                </c:pt>
                <c:pt idx="11">
                  <c:v>-23.200000000000003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-48.2</c:v>
                </c:pt>
                <c:pt idx="18">
                  <c:v>#N/A</c:v>
                </c:pt>
                <c:pt idx="19">
                  <c:v>#N/A</c:v>
                </c:pt>
                <c:pt idx="20">
                  <c:v>-61</c:v>
                </c:pt>
                <c:pt idx="21">
                  <c:v>#N/A</c:v>
                </c:pt>
                <c:pt idx="22">
                  <c:v>#N/A</c:v>
                </c:pt>
                <c:pt idx="23">
                  <c:v>-67.900000000000006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-92.9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97A-40BE-8F24-74ED8CE15A26}"/>
            </c:ext>
          </c:extLst>
        </c:ser>
        <c:ser>
          <c:idx val="4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97A-40BE-8F24-74ED8CE15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94112"/>
        <c:axId val="144395648"/>
      </c:lineChart>
      <c:catAx>
        <c:axId val="1443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95648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44395648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4.507042253521127E-2"/>
              <c:y val="0.30855926792934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394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26478902813204686"/>
          <c:y val="0.83558747724102045"/>
          <c:w val="0.67605722524121104"/>
          <c:h val="0.15765789411458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18903755954925"/>
          <c:y val="9.6197078171049555E-2"/>
          <c:w val="0.76521955734702596"/>
          <c:h val="0.66890526449171672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【参考】測量データ!$B$17</c:f>
              <c:strCache>
                <c:ptCount val="1"/>
                <c:pt idx="0">
                  <c:v>11.中)北4条東3丁目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【参考】測量データ!$D$17:$AM$17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4.7</c:v>
                </c:pt>
                <c:pt idx="4">
                  <c:v>3.8000000000000003</c:v>
                </c:pt>
                <c:pt idx="5">
                  <c:v>-5.7999999999999989</c:v>
                </c:pt>
                <c:pt idx="6">
                  <c:v>-9.8999999999999986</c:v>
                </c:pt>
                <c:pt idx="7">
                  <c:v>-10.199999999999999</c:v>
                </c:pt>
                <c:pt idx="8">
                  <c:v>-6.1</c:v>
                </c:pt>
                <c:pt idx="9">
                  <c:v>-10.1</c:v>
                </c:pt>
                <c:pt idx="10">
                  <c:v>-12</c:v>
                </c:pt>
                <c:pt idx="11">
                  <c:v>-15.9</c:v>
                </c:pt>
                <c:pt idx="12">
                  <c:v>-32.1</c:v>
                </c:pt>
                <c:pt idx="13">
                  <c:v>-29.6</c:v>
                </c:pt>
                <c:pt idx="14">
                  <c:v>-19.5</c:v>
                </c:pt>
                <c:pt idx="15">
                  <c:v>-24</c:v>
                </c:pt>
                <c:pt idx="16">
                  <c:v>-28.5</c:v>
                </c:pt>
                <c:pt idx="17">
                  <c:v>-25.9</c:v>
                </c:pt>
                <c:pt idx="18">
                  <c:v>-32.699999999999996</c:v>
                </c:pt>
                <c:pt idx="19">
                  <c:v>-30.599999999999994</c:v>
                </c:pt>
                <c:pt idx="20">
                  <c:v>-26.899999999999995</c:v>
                </c:pt>
                <c:pt idx="21">
                  <c:v>-31.999999999999993</c:v>
                </c:pt>
                <c:pt idx="22">
                  <c:v>-36.999999999999993</c:v>
                </c:pt>
                <c:pt idx="23">
                  <c:v>-31.399999999999991</c:v>
                </c:pt>
                <c:pt idx="24">
                  <c:v>-40.79999999999999</c:v>
                </c:pt>
                <c:pt idx="25">
                  <c:v>-40.099999999999987</c:v>
                </c:pt>
                <c:pt idx="26">
                  <c:v>-36.999999999999986</c:v>
                </c:pt>
                <c:pt idx="27">
                  <c:v>-43.199999999999989</c:v>
                </c:pt>
                <c:pt idx="28">
                  <c:v>-43.299999999999756</c:v>
                </c:pt>
                <c:pt idx="29">
                  <c:v>-35.699999999999754</c:v>
                </c:pt>
                <c:pt idx="30">
                  <c:v>-44.799999999999756</c:v>
                </c:pt>
                <c:pt idx="31">
                  <c:v>-50.099999999999753</c:v>
                </c:pt>
                <c:pt idx="32">
                  <c:v>#N/A</c:v>
                </c:pt>
                <c:pt idx="33">
                  <c:v>#N/A</c:v>
                </c:pt>
                <c:pt idx="34">
                  <c:v>-51.099999999999753</c:v>
                </c:pt>
                <c:pt idx="35">
                  <c:v>-53.699999999999754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A-4353-9030-BC2DB60179BB}"/>
            </c:ext>
          </c:extLst>
        </c:ser>
        <c:ser>
          <c:idx val="2"/>
          <c:order val="1"/>
          <c:tx>
            <c:strRef>
              <c:f>【参考】測量データ!$B$18</c:f>
              <c:strCache>
                <c:ptCount val="1"/>
                <c:pt idx="0">
                  <c:v>12.中)南1条西14丁目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【参考】測量データ!$D$18:$AM$18</c:f>
              <c:numCache>
                <c:formatCode>0.0;[Red]\-0.0</c:formatCode>
                <c:ptCount val="36"/>
                <c:pt idx="0">
                  <c:v>0</c:v>
                </c:pt>
                <c:pt idx="1">
                  <c:v>-12.4</c:v>
                </c:pt>
                <c:pt idx="2">
                  <c:v>-9.5</c:v>
                </c:pt>
                <c:pt idx="3">
                  <c:v>-5.8</c:v>
                </c:pt>
                <c:pt idx="4">
                  <c:v>#N/A</c:v>
                </c:pt>
                <c:pt idx="5">
                  <c:v>-14.5</c:v>
                </c:pt>
                <c:pt idx="6">
                  <c:v>-13.8</c:v>
                </c:pt>
                <c:pt idx="7">
                  <c:v>-17.8</c:v>
                </c:pt>
                <c:pt idx="8">
                  <c:v>-13.700000000000001</c:v>
                </c:pt>
                <c:pt idx="9">
                  <c:v>-16.3</c:v>
                </c:pt>
                <c:pt idx="10">
                  <c:v>-17</c:v>
                </c:pt>
                <c:pt idx="11">
                  <c:v>-18.7</c:v>
                </c:pt>
                <c:pt idx="12">
                  <c:v>-28.2</c:v>
                </c:pt>
                <c:pt idx="13">
                  <c:v>-26.8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-23.7</c:v>
                </c:pt>
                <c:pt idx="18">
                  <c:v>#N/A</c:v>
                </c:pt>
                <c:pt idx="19">
                  <c:v>#N/A</c:v>
                </c:pt>
                <c:pt idx="20">
                  <c:v>-26.4</c:v>
                </c:pt>
                <c:pt idx="21">
                  <c:v>#N/A</c:v>
                </c:pt>
                <c:pt idx="22">
                  <c:v>#N/A</c:v>
                </c:pt>
                <c:pt idx="23">
                  <c:v>-27.799999999999997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-39.599999999999994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-42.399999999999991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4A-4353-9030-BC2DB60179BB}"/>
            </c:ext>
          </c:extLst>
        </c:ser>
        <c:ser>
          <c:idx val="3"/>
          <c:order val="2"/>
          <c:tx>
            <c:strRef>
              <c:f>【参考】測量データ!$B$19</c:f>
              <c:strCache>
                <c:ptCount val="1"/>
                <c:pt idx="0">
                  <c:v>13.中)南8条西2丁目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【参考】測量データ!$D$19:$AM$19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-6.1</c:v>
                </c:pt>
                <c:pt idx="6">
                  <c:v>-9.3000000000000007</c:v>
                </c:pt>
                <c:pt idx="7">
                  <c:v>-9.7000000000000011</c:v>
                </c:pt>
                <c:pt idx="8">
                  <c:v>#N/A</c:v>
                </c:pt>
                <c:pt idx="9">
                  <c:v>-10.9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-25.4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</c:v>
                </c:pt>
                <c:pt idx="18">
                  <c:v>#N/A</c:v>
                </c:pt>
                <c:pt idx="19">
                  <c:v>#N/A</c:v>
                </c:pt>
                <c:pt idx="20">
                  <c:v>-28.6</c:v>
                </c:pt>
                <c:pt idx="21">
                  <c:v>#N/A</c:v>
                </c:pt>
                <c:pt idx="22">
                  <c:v>#N/A</c:v>
                </c:pt>
                <c:pt idx="23">
                  <c:v>-29.400000000000002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-50.1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A-4353-9030-BC2DB60179BB}"/>
            </c:ext>
          </c:extLst>
        </c:ser>
        <c:ser>
          <c:idx val="5"/>
          <c:order val="3"/>
          <c:tx>
            <c:strRef>
              <c:f>【参考】測量データ!$B$20</c:f>
              <c:strCache>
                <c:ptCount val="1"/>
                <c:pt idx="0">
                  <c:v>14.中)北2条西25丁目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【参考】測量データ!$D$21:$AM$21</c:f>
              <c:numCache>
                <c:formatCode>0.0;[Red]\-0.0</c:formatCode>
                <c:ptCount val="36"/>
                <c:pt idx="0">
                  <c:v>0</c:v>
                </c:pt>
                <c:pt idx="1">
                  <c:v>-26.4</c:v>
                </c:pt>
                <c:pt idx="2">
                  <c:v>-21.799999999999997</c:v>
                </c:pt>
                <c:pt idx="3">
                  <c:v>-17.699999999999996</c:v>
                </c:pt>
                <c:pt idx="4">
                  <c:v>#N/A</c:v>
                </c:pt>
                <c:pt idx="5">
                  <c:v>-25.199999999999996</c:v>
                </c:pt>
                <c:pt idx="6">
                  <c:v>-24.999999999999996</c:v>
                </c:pt>
                <c:pt idx="7">
                  <c:v>-27.499999999999996</c:v>
                </c:pt>
                <c:pt idx="8">
                  <c:v>-23.099999999999994</c:v>
                </c:pt>
                <c:pt idx="9">
                  <c:v>-26.299999999999994</c:v>
                </c:pt>
                <c:pt idx="10">
                  <c:v>-24.699999999999992</c:v>
                </c:pt>
                <c:pt idx="11">
                  <c:v>-26.499999999999993</c:v>
                </c:pt>
                <c:pt idx="12">
                  <c:v>-32.199999999999996</c:v>
                </c:pt>
                <c:pt idx="13">
                  <c:v>-31.299999999999997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-33.5</c:v>
                </c:pt>
                <c:pt idx="18">
                  <c:v>#N/A</c:v>
                </c:pt>
                <c:pt idx="19">
                  <c:v>#N/A</c:v>
                </c:pt>
                <c:pt idx="20">
                  <c:v>-36.5</c:v>
                </c:pt>
                <c:pt idx="21">
                  <c:v>#N/A</c:v>
                </c:pt>
                <c:pt idx="22">
                  <c:v>#N/A</c:v>
                </c:pt>
                <c:pt idx="23">
                  <c:v>-38.4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-41.699999999999996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4A-4353-9030-BC2DB60179BB}"/>
            </c:ext>
          </c:extLst>
        </c:ser>
        <c:ser>
          <c:idx val="0"/>
          <c:order val="4"/>
          <c:tx>
            <c:strRef>
              <c:f>【参考】測量データ!$B$21</c:f>
              <c:strCache>
                <c:ptCount val="1"/>
                <c:pt idx="0">
                  <c:v>15.西)山の手2条1丁目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【参考】測量データ!$D$21:$AM$21</c:f>
              <c:numCache>
                <c:formatCode>0.0;[Red]\-0.0</c:formatCode>
                <c:ptCount val="36"/>
                <c:pt idx="0">
                  <c:v>0</c:v>
                </c:pt>
                <c:pt idx="1">
                  <c:v>-26.4</c:v>
                </c:pt>
                <c:pt idx="2">
                  <c:v>-21.799999999999997</c:v>
                </c:pt>
                <c:pt idx="3">
                  <c:v>-17.699999999999996</c:v>
                </c:pt>
                <c:pt idx="4">
                  <c:v>#N/A</c:v>
                </c:pt>
                <c:pt idx="5">
                  <c:v>-25.199999999999996</c:v>
                </c:pt>
                <c:pt idx="6">
                  <c:v>-24.999999999999996</c:v>
                </c:pt>
                <c:pt idx="7">
                  <c:v>-27.499999999999996</c:v>
                </c:pt>
                <c:pt idx="8">
                  <c:v>-23.099999999999994</c:v>
                </c:pt>
                <c:pt idx="9">
                  <c:v>-26.299999999999994</c:v>
                </c:pt>
                <c:pt idx="10">
                  <c:v>-24.699999999999992</c:v>
                </c:pt>
                <c:pt idx="11">
                  <c:v>-26.499999999999993</c:v>
                </c:pt>
                <c:pt idx="12">
                  <c:v>-32.199999999999996</c:v>
                </c:pt>
                <c:pt idx="13">
                  <c:v>-31.299999999999997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-33.5</c:v>
                </c:pt>
                <c:pt idx="18">
                  <c:v>#N/A</c:v>
                </c:pt>
                <c:pt idx="19">
                  <c:v>#N/A</c:v>
                </c:pt>
                <c:pt idx="20">
                  <c:v>-36.5</c:v>
                </c:pt>
                <c:pt idx="21">
                  <c:v>#N/A</c:v>
                </c:pt>
                <c:pt idx="22">
                  <c:v>#N/A</c:v>
                </c:pt>
                <c:pt idx="23">
                  <c:v>-38.4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-41.699999999999996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4A-4353-9030-BC2DB60179BB}"/>
            </c:ext>
          </c:extLst>
        </c:ser>
        <c:ser>
          <c:idx val="4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A-4353-9030-BC2DB6017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440320"/>
        <c:axId val="144511744"/>
      </c:lineChart>
      <c:catAx>
        <c:axId val="1444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511744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44511744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1884057971014491E-2"/>
              <c:y val="0.2997769909633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440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2202904636920385"/>
          <c:y val="0.83445378052575636"/>
          <c:w val="0.66376994180075322"/>
          <c:h val="0.156599787442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80836306027195"/>
          <c:y val="0.13131377897026403"/>
          <c:w val="0.74672648302419453"/>
          <c:h val="0.74747843413842596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【参考】測量データ!$B$23</c:f>
              <c:strCache>
                <c:ptCount val="1"/>
                <c:pt idx="0">
                  <c:v>16.白)本通1丁目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【参考】測量データ!$D$23:$AM$23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5</c:v>
                </c:pt>
                <c:pt idx="4">
                  <c:v>10.199999999999999</c:v>
                </c:pt>
                <c:pt idx="5">
                  <c:v>-4.5</c:v>
                </c:pt>
                <c:pt idx="6">
                  <c:v>-7.9</c:v>
                </c:pt>
                <c:pt idx="7">
                  <c:v>-10.9</c:v>
                </c:pt>
                <c:pt idx="8">
                  <c:v>-8.1000000000000014</c:v>
                </c:pt>
                <c:pt idx="9">
                  <c:v>-8.9000000000000021</c:v>
                </c:pt>
                <c:pt idx="10">
                  <c:v>-11.100000000000001</c:v>
                </c:pt>
                <c:pt idx="11">
                  <c:v>-7.6000000000000014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-25.400000000000002</c:v>
                </c:pt>
                <c:pt idx="18">
                  <c:v>#N/A</c:v>
                </c:pt>
                <c:pt idx="19">
                  <c:v>#N/A</c:v>
                </c:pt>
                <c:pt idx="20">
                  <c:v>-26.500000000000004</c:v>
                </c:pt>
                <c:pt idx="21">
                  <c:v>#N/A</c:v>
                </c:pt>
                <c:pt idx="22">
                  <c:v>#N/A</c:v>
                </c:pt>
                <c:pt idx="23">
                  <c:v>-28.300000000000004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-35.800000000000004</c:v>
                </c:pt>
                <c:pt idx="30">
                  <c:v>#N/A</c:v>
                </c:pt>
                <c:pt idx="31">
                  <c:v>-50.2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-47.1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318-44DD-8FDF-09AB16100A69}"/>
            </c:ext>
          </c:extLst>
        </c:ser>
        <c:ser>
          <c:idx val="2"/>
          <c:order val="1"/>
          <c:tx>
            <c:strRef>
              <c:f>【参考】測量データ!$B$24</c:f>
              <c:strCache>
                <c:ptCount val="1"/>
                <c:pt idx="0">
                  <c:v>17.白)本通14丁目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【参考】測量データ!$D$24:$AM$24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8.6999999999999993</c:v>
                </c:pt>
                <c:pt idx="5">
                  <c:v>-5.6000000000000014</c:v>
                </c:pt>
                <c:pt idx="6">
                  <c:v>-10.000000000000002</c:v>
                </c:pt>
                <c:pt idx="7">
                  <c:v>-17.100000000000001</c:v>
                </c:pt>
                <c:pt idx="8">
                  <c:v>#N/A</c:v>
                </c:pt>
                <c:pt idx="9">
                  <c:v>-14.8</c:v>
                </c:pt>
                <c:pt idx="10">
                  <c:v>#N/A</c:v>
                </c:pt>
                <c:pt idx="11">
                  <c:v>-12.3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-33.299999999999997</c:v>
                </c:pt>
                <c:pt idx="18">
                  <c:v>#N/A</c:v>
                </c:pt>
                <c:pt idx="19">
                  <c:v>#N/A</c:v>
                </c:pt>
                <c:pt idx="20">
                  <c:v>-33.9</c:v>
                </c:pt>
                <c:pt idx="21">
                  <c:v>#N/A</c:v>
                </c:pt>
                <c:pt idx="22">
                  <c:v>#N/A</c:v>
                </c:pt>
                <c:pt idx="23">
                  <c:v>-35.9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-60.099999999999994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318-44DD-8FDF-09AB16100A69}"/>
            </c:ext>
          </c:extLst>
        </c:ser>
        <c:ser>
          <c:idx val="3"/>
          <c:order val="2"/>
          <c:tx>
            <c:strRef>
              <c:f>【参考】測量データ!$B$25</c:f>
              <c:strCache>
                <c:ptCount val="1"/>
                <c:pt idx="0">
                  <c:v>18.豊)西岡2条9丁目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【参考】測量データ!$D$25:$AM$25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-0.5</c:v>
                </c:pt>
                <c:pt idx="8">
                  <c:v>#N/A</c:v>
                </c:pt>
                <c:pt idx="9">
                  <c:v>-7.4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-9.6999999999999993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-7.7999999999999989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-21.4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318-44DD-8FDF-09AB16100A69}"/>
            </c:ext>
          </c:extLst>
        </c:ser>
        <c:ser>
          <c:idx val="5"/>
          <c:order val="3"/>
          <c:tx>
            <c:strRef>
              <c:f>【参考】測量データ!$B$26</c:f>
              <c:strCache>
                <c:ptCount val="1"/>
                <c:pt idx="0">
                  <c:v>19.厚)厚別南6丁目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【参考】測量データ!$D$26:$AM$26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2.6</c:v>
                </c:pt>
                <c:pt idx="4">
                  <c:v>5.9</c:v>
                </c:pt>
                <c:pt idx="5">
                  <c:v>-5.7999999999999989</c:v>
                </c:pt>
                <c:pt idx="6">
                  <c:v>-10.799999999999999</c:v>
                </c:pt>
                <c:pt idx="7">
                  <c:v>-23.7</c:v>
                </c:pt>
                <c:pt idx="8">
                  <c:v>#N/A</c:v>
                </c:pt>
                <c:pt idx="9">
                  <c:v>-28.4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-50.099999999999994</c:v>
                </c:pt>
                <c:pt idx="18">
                  <c:v>#N/A</c:v>
                </c:pt>
                <c:pt idx="19">
                  <c:v>#N/A</c:v>
                </c:pt>
                <c:pt idx="20">
                  <c:v>-59.999999999999993</c:v>
                </c:pt>
                <c:pt idx="21">
                  <c:v>#N/A</c:v>
                </c:pt>
                <c:pt idx="22">
                  <c:v>#N/A</c:v>
                </c:pt>
                <c:pt idx="23">
                  <c:v>-67.399999999999991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-97.299999999999983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318-44DD-8FDF-09AB16100A69}"/>
            </c:ext>
          </c:extLst>
        </c:ser>
        <c:ser>
          <c:idx val="0"/>
          <c:order val="4"/>
          <c:tx>
            <c:strRef>
              <c:f>【参考】測量データ!$B$27</c:f>
              <c:strCache>
                <c:ptCount val="1"/>
                <c:pt idx="0">
                  <c:v>20.厚)厚別中央4条3丁目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【参考】測量データ!$D$27:$AM$27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5.4</c:v>
                </c:pt>
                <c:pt idx="5">
                  <c:v>-9.6999999999999993</c:v>
                </c:pt>
                <c:pt idx="6">
                  <c:v>-11.6</c:v>
                </c:pt>
                <c:pt idx="7">
                  <c:v>-27.1</c:v>
                </c:pt>
                <c:pt idx="8">
                  <c:v>-23.900000000000002</c:v>
                </c:pt>
                <c:pt idx="9">
                  <c:v>-23.700000000000003</c:v>
                </c:pt>
                <c:pt idx="10">
                  <c:v>#N/A</c:v>
                </c:pt>
                <c:pt idx="11">
                  <c:v>-23.200000000000003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-48.2</c:v>
                </c:pt>
                <c:pt idx="18">
                  <c:v>#N/A</c:v>
                </c:pt>
                <c:pt idx="19">
                  <c:v>#N/A</c:v>
                </c:pt>
                <c:pt idx="20">
                  <c:v>-61</c:v>
                </c:pt>
                <c:pt idx="21">
                  <c:v>#N/A</c:v>
                </c:pt>
                <c:pt idx="22">
                  <c:v>#N/A</c:v>
                </c:pt>
                <c:pt idx="23">
                  <c:v>-67.900000000000006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-92.9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318-44DD-8FDF-09AB16100A69}"/>
            </c:ext>
          </c:extLst>
        </c:ser>
        <c:ser>
          <c:idx val="4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318-44DD-8FDF-09AB1610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70976"/>
        <c:axId val="193072512"/>
      </c:lineChart>
      <c:catAx>
        <c:axId val="1930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3072512"/>
        <c:crossesAt val="-600"/>
        <c:auto val="1"/>
        <c:lblAlgn val="ctr"/>
        <c:lblOffset val="100"/>
        <c:tickLblSkip val="1"/>
        <c:tickMarkSkip val="1"/>
        <c:noMultiLvlLbl val="0"/>
      </c:catAx>
      <c:valAx>
        <c:axId val="193072512"/>
        <c:scaling>
          <c:orientation val="minMax"/>
          <c:max val="20"/>
          <c:min val="-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834061135371178E-2"/>
              <c:y val="0.24747580794824889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3070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"/>
          <c:y val="0.10239673201919088"/>
          <c:w val="0.80857142857142861"/>
          <c:h val="0.66013212344286887"/>
        </c:manualLayout>
      </c:layout>
      <c:lineChart>
        <c:grouping val="standard"/>
        <c:varyColors val="0"/>
        <c:ser>
          <c:idx val="2"/>
          <c:order val="0"/>
          <c:tx>
            <c:strRef>
              <c:f>【参考】測量データ!$B$11</c:f>
              <c:strCache>
                <c:ptCount val="1"/>
                <c:pt idx="0">
                  <c:v>６.厚)厚別町山本645番地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【参考】測量データ!$D$11:$AM$11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#N/A</c:v>
                </c:pt>
                <c:pt idx="4">
                  <c:v>-67.400000000000006</c:v>
                </c:pt>
                <c:pt idx="5">
                  <c:v>-129.69999999999999</c:v>
                </c:pt>
                <c:pt idx="6">
                  <c:v>-168.5</c:v>
                </c:pt>
                <c:pt idx="7">
                  <c:v>-192.8</c:v>
                </c:pt>
                <c:pt idx="8">
                  <c:v>-199.10000000000002</c:v>
                </c:pt>
                <c:pt idx="9">
                  <c:v>-227.20000000000002</c:v>
                </c:pt>
                <c:pt idx="10">
                  <c:v>#N/A</c:v>
                </c:pt>
                <c:pt idx="11">
                  <c:v>-292.3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-546.4</c:v>
                </c:pt>
                <c:pt idx="24">
                  <c:v>#N/A</c:v>
                </c:pt>
                <c:pt idx="25">
                  <c:v>#N/A</c:v>
                </c:pt>
                <c:pt idx="26">
                  <c:v>-572.79999999999995</c:v>
                </c:pt>
                <c:pt idx="27">
                  <c:v>#N/A</c:v>
                </c:pt>
                <c:pt idx="28">
                  <c:v>#N/A</c:v>
                </c:pt>
                <c:pt idx="29">
                  <c:v>-590.69999999999993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-648.79999999999995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14-46F3-BEAC-CC9FB484A5FA}"/>
            </c:ext>
          </c:extLst>
        </c:ser>
        <c:ser>
          <c:idx val="3"/>
          <c:order val="1"/>
          <c:tx>
            <c:strRef>
              <c:f>【参考】測量データ!$B$12</c:f>
              <c:strCache>
                <c:ptCount val="1"/>
                <c:pt idx="0">
                  <c:v>７.東)東苗穂7条2丁目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【参考】測量データ!$D$12:$AM$12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-16.5</c:v>
                </c:pt>
                <c:pt idx="4">
                  <c:v>-17.899999999999999</c:v>
                </c:pt>
                <c:pt idx="5">
                  <c:v>-71.699999999999989</c:v>
                </c:pt>
                <c:pt idx="6">
                  <c:v>-147.1</c:v>
                </c:pt>
                <c:pt idx="7">
                  <c:v>-165.79999999999998</c:v>
                </c:pt>
                <c:pt idx="8">
                  <c:v>-178.1</c:v>
                </c:pt>
                <c:pt idx="9">
                  <c:v>-221.6</c:v>
                </c:pt>
                <c:pt idx="10">
                  <c:v>-273.2</c:v>
                </c:pt>
                <c:pt idx="11">
                  <c:v>-340.7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-387.8</c:v>
                </c:pt>
                <c:pt idx="18">
                  <c:v>#N/A</c:v>
                </c:pt>
                <c:pt idx="19">
                  <c:v>#N/A</c:v>
                </c:pt>
                <c:pt idx="20">
                  <c:v>-407.3</c:v>
                </c:pt>
                <c:pt idx="21">
                  <c:v>#N/A</c:v>
                </c:pt>
                <c:pt idx="22">
                  <c:v>#N/A</c:v>
                </c:pt>
                <c:pt idx="23">
                  <c:v>-431.5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-465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-512.5</c:v>
                </c:pt>
                <c:pt idx="35">
                  <c:v>-525.79999999999995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14-46F3-BEAC-CC9FB484A5FA}"/>
            </c:ext>
          </c:extLst>
        </c:ser>
        <c:ser>
          <c:idx val="5"/>
          <c:order val="2"/>
          <c:tx>
            <c:strRef>
              <c:f>【参考】測量データ!$B$13</c:f>
              <c:strCache>
                <c:ptCount val="1"/>
                <c:pt idx="0">
                  <c:v>８.北)篠路町福移156番地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【参考】測量データ!$D$13:$AM$13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-14.3</c:v>
                </c:pt>
                <c:pt idx="8">
                  <c:v>-21.700000000000003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-271.89999999999998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-354.09999999999997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-473</c:v>
                </c:pt>
                <c:pt idx="35">
                  <c:v>-517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14-46F3-BEAC-CC9FB484A5FA}"/>
            </c:ext>
          </c:extLst>
        </c:ser>
        <c:ser>
          <c:idx val="4"/>
          <c:order val="3"/>
          <c:tx>
            <c:strRef>
              <c:f>【参考】測量データ!$B$14</c:f>
              <c:strCache>
                <c:ptCount val="1"/>
                <c:pt idx="0">
                  <c:v>９.白)北郷3条11丁目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val>
            <c:numRef>
              <c:f>【参考】測量データ!$D$14:$AM$14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-79.599999999999994</c:v>
                </c:pt>
                <c:pt idx="5">
                  <c:v>-110.5</c:v>
                </c:pt>
                <c:pt idx="6">
                  <c:v>-149.1</c:v>
                </c:pt>
                <c:pt idx="7">
                  <c:v>-192.89999999999998</c:v>
                </c:pt>
                <c:pt idx="8">
                  <c:v>-194.99999999999997</c:v>
                </c:pt>
                <c:pt idx="9">
                  <c:v>-232.2</c:v>
                </c:pt>
                <c:pt idx="10">
                  <c:v>-253.2</c:v>
                </c:pt>
                <c:pt idx="11">
                  <c:v>-316.7</c:v>
                </c:pt>
                <c:pt idx="12">
                  <c:v>#N/A</c:v>
                </c:pt>
                <c:pt idx="13">
                  <c:v>#N/A</c:v>
                </c:pt>
                <c:pt idx="14">
                  <c:v>-347.2</c:v>
                </c:pt>
                <c:pt idx="15">
                  <c:v>#N/A</c:v>
                </c:pt>
                <c:pt idx="16">
                  <c:v>#N/A</c:v>
                </c:pt>
                <c:pt idx="17">
                  <c:v>-391.09999999999997</c:v>
                </c:pt>
                <c:pt idx="18">
                  <c:v>#N/A</c:v>
                </c:pt>
                <c:pt idx="19">
                  <c:v>#N/A</c:v>
                </c:pt>
                <c:pt idx="20">
                  <c:v>-403.4</c:v>
                </c:pt>
                <c:pt idx="21">
                  <c:v>#N/A</c:v>
                </c:pt>
                <c:pt idx="22">
                  <c:v>#N/A</c:v>
                </c:pt>
                <c:pt idx="23">
                  <c:v>-412.59999999999997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-427.59999999999997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-449.09999999999997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14-46F3-BEAC-CC9FB484A5FA}"/>
            </c:ext>
          </c:extLst>
        </c:ser>
        <c:ser>
          <c:idx val="0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14-46F3-BEAC-CC9FB484A5FA}"/>
            </c:ext>
          </c:extLst>
        </c:ser>
        <c:ser>
          <c:idx val="1"/>
          <c:order val="5"/>
          <c:tx>
            <c:strRef>
              <c:f>【参考】測量データ!$B$15</c:f>
              <c:strCache>
                <c:ptCount val="1"/>
                <c:pt idx="0">
                  <c:v>10.白)川北2261番地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val>
            <c:numRef>
              <c:f>【参考】測量データ!$D$15:$AM$15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-33.799999999999997</c:v>
                </c:pt>
                <c:pt idx="7">
                  <c:v>-65.900000000000006</c:v>
                </c:pt>
                <c:pt idx="8">
                  <c:v>-89.800000000000011</c:v>
                </c:pt>
                <c:pt idx="9">
                  <c:v>-130.20000000000002</c:v>
                </c:pt>
                <c:pt idx="10">
                  <c:v>-146.60000000000002</c:v>
                </c:pt>
                <c:pt idx="11">
                  <c:v>-168.00000000000003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-296.40000000000003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-339.40000000000003</c:v>
                </c:pt>
                <c:pt idx="27">
                  <c:v>#N/A</c:v>
                </c:pt>
                <c:pt idx="28">
                  <c:v>#N/A</c:v>
                </c:pt>
                <c:pt idx="29">
                  <c:v>-365.70000000000005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-451.20000000000005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測量データ!#REF!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514-46F3-BEAC-CC9FB484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29472"/>
        <c:axId val="196350720"/>
      </c:lineChart>
      <c:catAx>
        <c:axId val="19312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350720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6350720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4285714285714285E-2"/>
              <c:y val="0.31154752714734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3129472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5428571428571428"/>
          <c:y val="0.83878178626364508"/>
          <c:w val="0.68857142857142861"/>
          <c:h val="0.152505675352672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14998975728987"/>
          <c:y val="9.8253275109170299E-2"/>
          <c:w val="0.78735853133567746"/>
          <c:h val="0.66157205240174677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【参考】測量データ!$B$5</c:f>
              <c:strCache>
                <c:ptCount val="1"/>
                <c:pt idx="0">
                  <c:v>１.東)北42条東10丁目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【参考】測量データ!$D$5:$AM$5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-19.399999999999999</c:v>
                </c:pt>
                <c:pt idx="4">
                  <c:v>-38.4</c:v>
                </c:pt>
                <c:pt idx="5">
                  <c:v>-68</c:v>
                </c:pt>
                <c:pt idx="6">
                  <c:v>-97.7</c:v>
                </c:pt>
                <c:pt idx="7">
                  <c:v>-112.5</c:v>
                </c:pt>
                <c:pt idx="8">
                  <c:v>-113.8</c:v>
                </c:pt>
                <c:pt idx="9">
                  <c:v>-128.4</c:v>
                </c:pt>
                <c:pt idx="10">
                  <c:v>-133.5</c:v>
                </c:pt>
                <c:pt idx="11">
                  <c:v>-169.1</c:v>
                </c:pt>
                <c:pt idx="12">
                  <c:v>#N/A</c:v>
                </c:pt>
                <c:pt idx="13">
                  <c:v>-216.7</c:v>
                </c:pt>
                <c:pt idx="14">
                  <c:v>-228.7</c:v>
                </c:pt>
                <c:pt idx="15">
                  <c:v>-230.2</c:v>
                </c:pt>
                <c:pt idx="16">
                  <c:v>-244.6</c:v>
                </c:pt>
                <c:pt idx="17">
                  <c:v>-250.4</c:v>
                </c:pt>
                <c:pt idx="18">
                  <c:v>-268.60000000000002</c:v>
                </c:pt>
                <c:pt idx="19">
                  <c:v>-271</c:v>
                </c:pt>
                <c:pt idx="20">
                  <c:v>-271.7</c:v>
                </c:pt>
                <c:pt idx="21">
                  <c:v>-281.3</c:v>
                </c:pt>
                <c:pt idx="22">
                  <c:v>-288.2</c:v>
                </c:pt>
                <c:pt idx="23">
                  <c:v>-291</c:v>
                </c:pt>
                <c:pt idx="24">
                  <c:v>-302.39999999999998</c:v>
                </c:pt>
                <c:pt idx="25">
                  <c:v>-304.7</c:v>
                </c:pt>
                <c:pt idx="26">
                  <c:v>-307.5</c:v>
                </c:pt>
                <c:pt idx="27">
                  <c:v>-313</c:v>
                </c:pt>
                <c:pt idx="28">
                  <c:v>-320.2000000000001</c:v>
                </c:pt>
                <c:pt idx="29">
                  <c:v>-314.50000000000011</c:v>
                </c:pt>
                <c:pt idx="30">
                  <c:v>-323.30000000000013</c:v>
                </c:pt>
                <c:pt idx="31">
                  <c:v>-329.10000000000014</c:v>
                </c:pt>
                <c:pt idx="32">
                  <c:v>-331.50000000000011</c:v>
                </c:pt>
                <c:pt idx="33">
                  <c:v>-332.80000000000013</c:v>
                </c:pt>
                <c:pt idx="34">
                  <c:v>-334.90000000000015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C-4D73-9C2F-B7735BF35235}"/>
            </c:ext>
          </c:extLst>
        </c:ser>
        <c:ser>
          <c:idx val="2"/>
          <c:order val="1"/>
          <c:tx>
            <c:strRef>
              <c:f>【参考】測量データ!$B$6</c:f>
              <c:strCache>
                <c:ptCount val="1"/>
                <c:pt idx="0">
                  <c:v>２.東)北33条東2丁目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【参考】測量データ!$D$6:$AM$6</c:f>
              <c:numCache>
                <c:formatCode>0.0;[Red]\-0.0</c:formatCode>
                <c:ptCount val="36"/>
                <c:pt idx="0">
                  <c:v>0</c:v>
                </c:pt>
                <c:pt idx="1">
                  <c:v>-32.700000000000003</c:v>
                </c:pt>
                <c:pt idx="2">
                  <c:v>-67.800000000000011</c:v>
                </c:pt>
                <c:pt idx="3">
                  <c:v>-107.60000000000001</c:v>
                </c:pt>
                <c:pt idx="4">
                  <c:v>-98.300000000000011</c:v>
                </c:pt>
                <c:pt idx="5">
                  <c:v>-112.20000000000002</c:v>
                </c:pt>
                <c:pt idx="6">
                  <c:v>-165.70000000000002</c:v>
                </c:pt>
                <c:pt idx="7">
                  <c:v>-185.8</c:v>
                </c:pt>
                <c:pt idx="8">
                  <c:v>-187.8</c:v>
                </c:pt>
                <c:pt idx="9">
                  <c:v>-219</c:v>
                </c:pt>
                <c:pt idx="10">
                  <c:v>-247.1</c:v>
                </c:pt>
                <c:pt idx="11">
                  <c:v>-331</c:v>
                </c:pt>
                <c:pt idx="12">
                  <c:v>-377.3</c:v>
                </c:pt>
                <c:pt idx="13">
                  <c:v>-386.7</c:v>
                </c:pt>
                <c:pt idx="14">
                  <c:v>-375.9</c:v>
                </c:pt>
                <c:pt idx="15">
                  <c:v>-377.2</c:v>
                </c:pt>
                <c:pt idx="16">
                  <c:v>-387.7</c:v>
                </c:pt>
                <c:pt idx="17">
                  <c:v>-384.9</c:v>
                </c:pt>
                <c:pt idx="18">
                  <c:v>-394.59999999999997</c:v>
                </c:pt>
                <c:pt idx="19">
                  <c:v>-394.59999999999997</c:v>
                </c:pt>
                <c:pt idx="20">
                  <c:v>-391.99999999999994</c:v>
                </c:pt>
                <c:pt idx="21">
                  <c:v>-397.99999999999994</c:v>
                </c:pt>
                <c:pt idx="22">
                  <c:v>-404.59999999999997</c:v>
                </c:pt>
                <c:pt idx="23">
                  <c:v>-401.99999999999994</c:v>
                </c:pt>
                <c:pt idx="24">
                  <c:v>-412.09999999999997</c:v>
                </c:pt>
                <c:pt idx="25">
                  <c:v>-416.79999999999995</c:v>
                </c:pt>
                <c:pt idx="26">
                  <c:v>-416.19999999999993</c:v>
                </c:pt>
                <c:pt idx="27">
                  <c:v>-419.09999999999991</c:v>
                </c:pt>
                <c:pt idx="28">
                  <c:v>-426.20000000000022</c:v>
                </c:pt>
                <c:pt idx="29">
                  <c:v>-421.30000000000024</c:v>
                </c:pt>
                <c:pt idx="30">
                  <c:v>-428.60000000000025</c:v>
                </c:pt>
                <c:pt idx="31">
                  <c:v>-434.90000000000026</c:v>
                </c:pt>
                <c:pt idx="32">
                  <c:v>-438.40000000000026</c:v>
                </c:pt>
                <c:pt idx="33">
                  <c:v>-444.20000000000027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C-4D73-9C2F-B7735BF35235}"/>
            </c:ext>
          </c:extLst>
        </c:ser>
        <c:ser>
          <c:idx val="3"/>
          <c:order val="2"/>
          <c:tx>
            <c:strRef>
              <c:f>【参考】測量データ!$B$7</c:f>
              <c:strCache>
                <c:ptCount val="1"/>
                <c:pt idx="0">
                  <c:v>３.手)新発寒5条4丁目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【参考】測量データ!$D$7:$AM$7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-44</c:v>
                </c:pt>
                <c:pt idx="4">
                  <c:v>-77.2</c:v>
                </c:pt>
                <c:pt idx="5">
                  <c:v>-99.300000000000011</c:v>
                </c:pt>
                <c:pt idx="6">
                  <c:v>-140.80000000000001</c:v>
                </c:pt>
                <c:pt idx="7">
                  <c:v>-160.4</c:v>
                </c:pt>
                <c:pt idx="8">
                  <c:v>-159.4</c:v>
                </c:pt>
                <c:pt idx="9">
                  <c:v>#N/A</c:v>
                </c:pt>
                <c:pt idx="10">
                  <c:v>#N/A</c:v>
                </c:pt>
                <c:pt idx="11">
                  <c:v>-257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-365.3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-413.6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-458.6</c:v>
                </c:pt>
                <c:pt idx="30">
                  <c:v>-470.40000000000003</c:v>
                </c:pt>
                <c:pt idx="31">
                  <c:v>#N/A</c:v>
                </c:pt>
                <c:pt idx="32">
                  <c:v>-487.1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C-4D73-9C2F-B7735BF35235}"/>
            </c:ext>
          </c:extLst>
        </c:ser>
        <c:ser>
          <c:idx val="5"/>
          <c:order val="3"/>
          <c:tx>
            <c:strRef>
              <c:f>【参考】測量データ!$B$8</c:f>
              <c:strCache>
                <c:ptCount val="1"/>
                <c:pt idx="0">
                  <c:v>４.北)北18条西9丁目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【参考】測量データ!$D$8:$AM$8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-29.5</c:v>
                </c:pt>
                <c:pt idx="7">
                  <c:v>-42.7</c:v>
                </c:pt>
                <c:pt idx="8">
                  <c:v>-18.900000000000002</c:v>
                </c:pt>
                <c:pt idx="9">
                  <c:v>-51.7</c:v>
                </c:pt>
                <c:pt idx="10">
                  <c:v>-54.1</c:v>
                </c:pt>
                <c:pt idx="11">
                  <c:v>-71.3</c:v>
                </c:pt>
                <c:pt idx="12">
                  <c:v>-108.1</c:v>
                </c:pt>
                <c:pt idx="13">
                  <c:v>-114.5</c:v>
                </c:pt>
                <c:pt idx="14">
                  <c:v>-119.2</c:v>
                </c:pt>
                <c:pt idx="15">
                  <c:v>-110.4</c:v>
                </c:pt>
                <c:pt idx="16">
                  <c:v>-119.60000000000001</c:v>
                </c:pt>
                <c:pt idx="17">
                  <c:v>-132.9</c:v>
                </c:pt>
                <c:pt idx="18">
                  <c:v>-171</c:v>
                </c:pt>
                <c:pt idx="19">
                  <c:v>-161.1</c:v>
                </c:pt>
                <c:pt idx="20">
                  <c:v>-160.79999999999998</c:v>
                </c:pt>
                <c:pt idx="21">
                  <c:v>-168.29999999999998</c:v>
                </c:pt>
                <c:pt idx="22">
                  <c:v>-175.29999999999998</c:v>
                </c:pt>
                <c:pt idx="23">
                  <c:v>-168.99999999999997</c:v>
                </c:pt>
                <c:pt idx="24">
                  <c:v>-174.49999999999997</c:v>
                </c:pt>
                <c:pt idx="25">
                  <c:v>#N/A</c:v>
                </c:pt>
                <c:pt idx="26">
                  <c:v>#N/A</c:v>
                </c:pt>
                <c:pt idx="27">
                  <c:v>-179.39999999999998</c:v>
                </c:pt>
                <c:pt idx="28">
                  <c:v>-179.80000000000081</c:v>
                </c:pt>
                <c:pt idx="29">
                  <c:v>-173.9000000000008</c:v>
                </c:pt>
                <c:pt idx="30">
                  <c:v>-187.60000000000079</c:v>
                </c:pt>
                <c:pt idx="31">
                  <c:v>#N/A</c:v>
                </c:pt>
                <c:pt idx="32">
                  <c:v>-196.60000000000079</c:v>
                </c:pt>
                <c:pt idx="33">
                  <c:v>-201.9000000000008</c:v>
                </c:pt>
                <c:pt idx="34">
                  <c:v>-207.30000000000081</c:v>
                </c:pt>
                <c:pt idx="35">
                  <c:v>-219.4000000000008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3C-4D73-9C2F-B7735BF35235}"/>
            </c:ext>
          </c:extLst>
        </c:ser>
        <c:ser>
          <c:idx val="0"/>
          <c:order val="4"/>
          <c:tx>
            <c:strRef>
              <c:f>【参考】測量データ!$B$9</c:f>
              <c:strCache>
                <c:ptCount val="1"/>
                <c:pt idx="0">
                  <c:v>５.北)新琴似5条11丁目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【参考】測量データ!$D$9:$AM$9</c:f>
              <c:numCache>
                <c:formatCode>0.0;[Red]\-0.0</c:formatCode>
                <c:ptCount val="36"/>
                <c:pt idx="0">
                  <c:v>0</c:v>
                </c:pt>
                <c:pt idx="1">
                  <c:v>-21.7</c:v>
                </c:pt>
                <c:pt idx="2">
                  <c:v>-50</c:v>
                </c:pt>
                <c:pt idx="3">
                  <c:v>-61.7</c:v>
                </c:pt>
                <c:pt idx="4">
                  <c:v>-68.2</c:v>
                </c:pt>
                <c:pt idx="5">
                  <c:v>-81</c:v>
                </c:pt>
                <c:pt idx="6">
                  <c:v>-90.7</c:v>
                </c:pt>
                <c:pt idx="7">
                  <c:v>-98.4</c:v>
                </c:pt>
                <c:pt idx="8">
                  <c:v>-92.800000000000011</c:v>
                </c:pt>
                <c:pt idx="9">
                  <c:v>-99.200000000000017</c:v>
                </c:pt>
                <c:pt idx="10">
                  <c:v>-106.90000000000002</c:v>
                </c:pt>
                <c:pt idx="11">
                  <c:v>-123.60000000000002</c:v>
                </c:pt>
                <c:pt idx="12">
                  <c:v>-129.80000000000001</c:v>
                </c:pt>
                <c:pt idx="13">
                  <c:v>-134.4</c:v>
                </c:pt>
                <c:pt idx="14">
                  <c:v>-135.5</c:v>
                </c:pt>
                <c:pt idx="15">
                  <c:v>-141.80000000000001</c:v>
                </c:pt>
                <c:pt idx="16">
                  <c:v>-156.80000000000001</c:v>
                </c:pt>
                <c:pt idx="17">
                  <c:v>-157.4</c:v>
                </c:pt>
                <c:pt idx="18">
                  <c:v>-168.6</c:v>
                </c:pt>
                <c:pt idx="19">
                  <c:v>-168.79999999999998</c:v>
                </c:pt>
                <c:pt idx="20">
                  <c:v>-169.7</c:v>
                </c:pt>
                <c:pt idx="21">
                  <c:v>-176.39999999999998</c:v>
                </c:pt>
                <c:pt idx="22">
                  <c:v>-181.79999999999998</c:v>
                </c:pt>
                <c:pt idx="23">
                  <c:v>-190.79999999999998</c:v>
                </c:pt>
                <c:pt idx="24">
                  <c:v>-202.39999999999998</c:v>
                </c:pt>
                <c:pt idx="25">
                  <c:v>-197.89999999999998</c:v>
                </c:pt>
                <c:pt idx="26">
                  <c:v>-201.99999999999997</c:v>
                </c:pt>
                <c:pt idx="27">
                  <c:v>-203.69999999999996</c:v>
                </c:pt>
                <c:pt idx="28">
                  <c:v>-208.2999999999999</c:v>
                </c:pt>
                <c:pt idx="29">
                  <c:v>-207.09999999999991</c:v>
                </c:pt>
                <c:pt idx="30">
                  <c:v>-212.2999999999999</c:v>
                </c:pt>
                <c:pt idx="31">
                  <c:v>-220.49999999999989</c:v>
                </c:pt>
                <c:pt idx="32">
                  <c:v>-222.7999999999999</c:v>
                </c:pt>
                <c:pt idx="33">
                  <c:v>-229.39999999999989</c:v>
                </c:pt>
                <c:pt idx="34">
                  <c:v>-230.6999999999999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3C-4D73-9C2F-B7735BF35235}"/>
            </c:ext>
          </c:extLst>
        </c:ser>
        <c:ser>
          <c:idx val="4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2"/>
            <c:spPr>
              <a:noFill/>
              <a:ln w="9525">
                <a:noFill/>
              </a:ln>
            </c:spPr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C-4D73-9C2F-B7735BF35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87968"/>
        <c:axId val="196389888"/>
      </c:lineChart>
      <c:catAx>
        <c:axId val="1963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389888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6389888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3.7356321839080463E-2"/>
              <c:y val="0.30786026200873362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387968"/>
        <c:crosses val="autoZero"/>
        <c:crossBetween val="between"/>
        <c:majorUnit val="100"/>
        <c:min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26436841946480827"/>
          <c:y val="0.83187772925764192"/>
          <c:w val="0.66954204000362028"/>
          <c:h val="0.15283842794759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5911056857523"/>
          <c:y val="0.1476197340947456"/>
          <c:w val="0.75000157849874249"/>
          <c:h val="0.73809867047372801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【参考】測量データ!$B$17</c:f>
              <c:strCache>
                <c:ptCount val="1"/>
                <c:pt idx="0">
                  <c:v>11.中)北4条東3丁目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【参考】測量データ!$D$17:$AM$17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4.7</c:v>
                </c:pt>
                <c:pt idx="4">
                  <c:v>3.8000000000000003</c:v>
                </c:pt>
                <c:pt idx="5">
                  <c:v>-5.7999999999999989</c:v>
                </c:pt>
                <c:pt idx="6">
                  <c:v>-9.8999999999999986</c:v>
                </c:pt>
                <c:pt idx="7">
                  <c:v>-10.199999999999999</c:v>
                </c:pt>
                <c:pt idx="8">
                  <c:v>-6.1</c:v>
                </c:pt>
                <c:pt idx="9">
                  <c:v>-10.1</c:v>
                </c:pt>
                <c:pt idx="10">
                  <c:v>-12</c:v>
                </c:pt>
                <c:pt idx="11">
                  <c:v>-15.9</c:v>
                </c:pt>
                <c:pt idx="12">
                  <c:v>-32.1</c:v>
                </c:pt>
                <c:pt idx="13">
                  <c:v>-29.6</c:v>
                </c:pt>
                <c:pt idx="14">
                  <c:v>-19.5</c:v>
                </c:pt>
                <c:pt idx="15">
                  <c:v>-24</c:v>
                </c:pt>
                <c:pt idx="16">
                  <c:v>-28.5</c:v>
                </c:pt>
                <c:pt idx="17">
                  <c:v>-25.9</c:v>
                </c:pt>
                <c:pt idx="18">
                  <c:v>-32.699999999999996</c:v>
                </c:pt>
                <c:pt idx="19">
                  <c:v>-30.599999999999994</c:v>
                </c:pt>
                <c:pt idx="20">
                  <c:v>-26.899999999999995</c:v>
                </c:pt>
                <c:pt idx="21">
                  <c:v>-31.999999999999993</c:v>
                </c:pt>
                <c:pt idx="22">
                  <c:v>-36.999999999999993</c:v>
                </c:pt>
                <c:pt idx="23">
                  <c:v>-31.399999999999991</c:v>
                </c:pt>
                <c:pt idx="24">
                  <c:v>-40.79999999999999</c:v>
                </c:pt>
                <c:pt idx="25">
                  <c:v>-40.099999999999987</c:v>
                </c:pt>
                <c:pt idx="26">
                  <c:v>-36.999999999999986</c:v>
                </c:pt>
                <c:pt idx="27">
                  <c:v>-43.199999999999989</c:v>
                </c:pt>
                <c:pt idx="28">
                  <c:v>-43.299999999999756</c:v>
                </c:pt>
                <c:pt idx="29">
                  <c:v>-35.699999999999754</c:v>
                </c:pt>
                <c:pt idx="30">
                  <c:v>-44.799999999999756</c:v>
                </c:pt>
                <c:pt idx="31">
                  <c:v>-50.099999999999753</c:v>
                </c:pt>
                <c:pt idx="32">
                  <c:v>#N/A</c:v>
                </c:pt>
                <c:pt idx="33">
                  <c:v>#N/A</c:v>
                </c:pt>
                <c:pt idx="34">
                  <c:v>-51.099999999999753</c:v>
                </c:pt>
                <c:pt idx="35">
                  <c:v>-53.699999999999754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2-47F6-8277-453EE6F3526C}"/>
            </c:ext>
          </c:extLst>
        </c:ser>
        <c:ser>
          <c:idx val="2"/>
          <c:order val="1"/>
          <c:tx>
            <c:strRef>
              <c:f>【参考】測量データ!$B$18</c:f>
              <c:strCache>
                <c:ptCount val="1"/>
                <c:pt idx="0">
                  <c:v>12.中)南1条西14丁目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【参考】測量データ!$D$18:$AM$18</c:f>
              <c:numCache>
                <c:formatCode>0.0;[Red]\-0.0</c:formatCode>
                <c:ptCount val="36"/>
                <c:pt idx="0">
                  <c:v>0</c:v>
                </c:pt>
                <c:pt idx="1">
                  <c:v>-12.4</c:v>
                </c:pt>
                <c:pt idx="2">
                  <c:v>-9.5</c:v>
                </c:pt>
                <c:pt idx="3">
                  <c:v>-5.8</c:v>
                </c:pt>
                <c:pt idx="4">
                  <c:v>#N/A</c:v>
                </c:pt>
                <c:pt idx="5">
                  <c:v>-14.5</c:v>
                </c:pt>
                <c:pt idx="6">
                  <c:v>-13.8</c:v>
                </c:pt>
                <c:pt idx="7">
                  <c:v>-17.8</c:v>
                </c:pt>
                <c:pt idx="8">
                  <c:v>-13.700000000000001</c:v>
                </c:pt>
                <c:pt idx="9">
                  <c:v>-16.3</c:v>
                </c:pt>
                <c:pt idx="10">
                  <c:v>-17</c:v>
                </c:pt>
                <c:pt idx="11">
                  <c:v>-18.7</c:v>
                </c:pt>
                <c:pt idx="12">
                  <c:v>-28.2</c:v>
                </c:pt>
                <c:pt idx="13">
                  <c:v>-26.8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-23.7</c:v>
                </c:pt>
                <c:pt idx="18">
                  <c:v>#N/A</c:v>
                </c:pt>
                <c:pt idx="19">
                  <c:v>#N/A</c:v>
                </c:pt>
                <c:pt idx="20">
                  <c:v>-26.4</c:v>
                </c:pt>
                <c:pt idx="21">
                  <c:v>#N/A</c:v>
                </c:pt>
                <c:pt idx="22">
                  <c:v>#N/A</c:v>
                </c:pt>
                <c:pt idx="23">
                  <c:v>-27.799999999999997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-39.599999999999994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-42.399999999999991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2-47F6-8277-453EE6F3526C}"/>
            </c:ext>
          </c:extLst>
        </c:ser>
        <c:ser>
          <c:idx val="3"/>
          <c:order val="2"/>
          <c:tx>
            <c:strRef>
              <c:f>【参考】測量データ!$B$19</c:f>
              <c:strCache>
                <c:ptCount val="1"/>
                <c:pt idx="0">
                  <c:v>13.中)南8条西2丁目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【参考】測量データ!$D$19:$AM$19</c:f>
              <c:numCache>
                <c:formatCode>0.0;[Red]\-0.0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-6.1</c:v>
                </c:pt>
                <c:pt idx="6">
                  <c:v>-9.3000000000000007</c:v>
                </c:pt>
                <c:pt idx="7">
                  <c:v>-9.7000000000000011</c:v>
                </c:pt>
                <c:pt idx="8">
                  <c:v>#N/A</c:v>
                </c:pt>
                <c:pt idx="9">
                  <c:v>-10.9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-25.4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</c:v>
                </c:pt>
                <c:pt idx="18">
                  <c:v>#N/A</c:v>
                </c:pt>
                <c:pt idx="19">
                  <c:v>#N/A</c:v>
                </c:pt>
                <c:pt idx="20">
                  <c:v>-28.6</c:v>
                </c:pt>
                <c:pt idx="21">
                  <c:v>#N/A</c:v>
                </c:pt>
                <c:pt idx="22">
                  <c:v>#N/A</c:v>
                </c:pt>
                <c:pt idx="23">
                  <c:v>-29.400000000000002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-50.1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-51.7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2-47F6-8277-453EE6F3526C}"/>
            </c:ext>
          </c:extLst>
        </c:ser>
        <c:ser>
          <c:idx val="5"/>
          <c:order val="3"/>
          <c:tx>
            <c:strRef>
              <c:f>【参考】測量データ!$B$20</c:f>
              <c:strCache>
                <c:ptCount val="1"/>
                <c:pt idx="0">
                  <c:v>14.中)北2条西25丁目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【参考】測量データ!$D$21:$AM$21</c:f>
              <c:numCache>
                <c:formatCode>0.0;[Red]\-0.0</c:formatCode>
                <c:ptCount val="36"/>
                <c:pt idx="0">
                  <c:v>0</c:v>
                </c:pt>
                <c:pt idx="1">
                  <c:v>-26.4</c:v>
                </c:pt>
                <c:pt idx="2">
                  <c:v>-21.799999999999997</c:v>
                </c:pt>
                <c:pt idx="3">
                  <c:v>-17.699999999999996</c:v>
                </c:pt>
                <c:pt idx="4">
                  <c:v>#N/A</c:v>
                </c:pt>
                <c:pt idx="5">
                  <c:v>-25.199999999999996</c:v>
                </c:pt>
                <c:pt idx="6">
                  <c:v>-24.999999999999996</c:v>
                </c:pt>
                <c:pt idx="7">
                  <c:v>-27.499999999999996</c:v>
                </c:pt>
                <c:pt idx="8">
                  <c:v>-23.099999999999994</c:v>
                </c:pt>
                <c:pt idx="9">
                  <c:v>-26.299999999999994</c:v>
                </c:pt>
                <c:pt idx="10">
                  <c:v>-24.699999999999992</c:v>
                </c:pt>
                <c:pt idx="11">
                  <c:v>-26.499999999999993</c:v>
                </c:pt>
                <c:pt idx="12">
                  <c:v>-32.199999999999996</c:v>
                </c:pt>
                <c:pt idx="13">
                  <c:v>-31.299999999999997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-33.5</c:v>
                </c:pt>
                <c:pt idx="18">
                  <c:v>#N/A</c:v>
                </c:pt>
                <c:pt idx="19">
                  <c:v>#N/A</c:v>
                </c:pt>
                <c:pt idx="20">
                  <c:v>-36.5</c:v>
                </c:pt>
                <c:pt idx="21">
                  <c:v>#N/A</c:v>
                </c:pt>
                <c:pt idx="22">
                  <c:v>#N/A</c:v>
                </c:pt>
                <c:pt idx="23">
                  <c:v>-38.4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-41.699999999999996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22-47F6-8277-453EE6F3526C}"/>
            </c:ext>
          </c:extLst>
        </c:ser>
        <c:ser>
          <c:idx val="0"/>
          <c:order val="4"/>
          <c:tx>
            <c:strRef>
              <c:f>【参考】測量データ!$B$21</c:f>
              <c:strCache>
                <c:ptCount val="1"/>
                <c:pt idx="0">
                  <c:v>15.西)山の手2条1丁目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【参考】測量データ!$D$21:$AM$21</c:f>
              <c:numCache>
                <c:formatCode>0.0;[Red]\-0.0</c:formatCode>
                <c:ptCount val="36"/>
                <c:pt idx="0">
                  <c:v>0</c:v>
                </c:pt>
                <c:pt idx="1">
                  <c:v>-26.4</c:v>
                </c:pt>
                <c:pt idx="2">
                  <c:v>-21.799999999999997</c:v>
                </c:pt>
                <c:pt idx="3">
                  <c:v>-17.699999999999996</c:v>
                </c:pt>
                <c:pt idx="4">
                  <c:v>#N/A</c:v>
                </c:pt>
                <c:pt idx="5">
                  <c:v>-25.199999999999996</c:v>
                </c:pt>
                <c:pt idx="6">
                  <c:v>-24.999999999999996</c:v>
                </c:pt>
                <c:pt idx="7">
                  <c:v>-27.499999999999996</c:v>
                </c:pt>
                <c:pt idx="8">
                  <c:v>-23.099999999999994</c:v>
                </c:pt>
                <c:pt idx="9">
                  <c:v>-26.299999999999994</c:v>
                </c:pt>
                <c:pt idx="10">
                  <c:v>-24.699999999999992</c:v>
                </c:pt>
                <c:pt idx="11">
                  <c:v>-26.499999999999993</c:v>
                </c:pt>
                <c:pt idx="12">
                  <c:v>-32.199999999999996</c:v>
                </c:pt>
                <c:pt idx="13">
                  <c:v>-31.299999999999997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-33.5</c:v>
                </c:pt>
                <c:pt idx="18">
                  <c:v>#N/A</c:v>
                </c:pt>
                <c:pt idx="19">
                  <c:v>#N/A</c:v>
                </c:pt>
                <c:pt idx="20">
                  <c:v>-36.5</c:v>
                </c:pt>
                <c:pt idx="21">
                  <c:v>#N/A</c:v>
                </c:pt>
                <c:pt idx="22">
                  <c:v>#N/A</c:v>
                </c:pt>
                <c:pt idx="23">
                  <c:v>-38.4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-41.699999999999996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-45.699999999999996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22-47F6-8277-453EE6F3526C}"/>
            </c:ext>
          </c:extLst>
        </c:ser>
        <c:ser>
          <c:idx val="4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【参考】測量データ!$D$2:$AM$2</c:f>
              <c:strCache>
                <c:ptCount val="36"/>
                <c:pt idx="1">
                  <c:v>S49</c:v>
                </c:pt>
                <c:pt idx="7">
                  <c:v>55</c:v>
                </c:pt>
                <c:pt idx="12">
                  <c:v>60</c:v>
                </c:pt>
                <c:pt idx="16">
                  <c:v>H1</c:v>
                </c:pt>
                <c:pt idx="20">
                  <c:v>5</c:v>
                </c:pt>
                <c:pt idx="25">
                  <c:v>10</c:v>
                </c:pt>
                <c:pt idx="30">
                  <c:v>15</c:v>
                </c:pt>
                <c:pt idx="35">
                  <c:v>20</c:v>
                </c:pt>
              </c:strCache>
            </c:strRef>
          </c:cat>
          <c:val>
            <c:numRef>
              <c:f>測量データ!#REF!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2-47F6-8277-453EE6F3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451712"/>
        <c:axId val="196465792"/>
      </c:lineChart>
      <c:catAx>
        <c:axId val="19645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465792"/>
        <c:crossesAt val="-600"/>
        <c:auto val="1"/>
        <c:lblAlgn val="ctr"/>
        <c:lblOffset val="100"/>
        <c:tickLblSkip val="1"/>
        <c:tickMarkSkip val="1"/>
        <c:noMultiLvlLbl val="0"/>
      </c:catAx>
      <c:valAx>
        <c:axId val="196465792"/>
        <c:scaling>
          <c:orientation val="minMax"/>
          <c:max val="10"/>
          <c:min val="-6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累積沈下量(mm)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1551724137931036E-2"/>
              <c:y val="0.27143007124109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;[Red]\-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6451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8510127563692"/>
          <c:y val="9.6847059858574086E-2"/>
          <c:w val="0.82049623251155979"/>
          <c:h val="0.67342490459799187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【参考】測量データ!$B$23</c:f>
              <c:strCache>
                <c:ptCount val="1"/>
                <c:pt idx="0">
                  <c:v>16.白)本通1丁目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【参考】測量データ!$E$23:$BB$23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5</c:v>
                </c:pt>
                <c:pt idx="3">
                  <c:v>10.199999999999999</c:v>
                </c:pt>
                <c:pt idx="4">
                  <c:v>-4.5</c:v>
                </c:pt>
                <c:pt idx="5">
                  <c:v>-7.9</c:v>
                </c:pt>
                <c:pt idx="6">
                  <c:v>-10.9</c:v>
                </c:pt>
                <c:pt idx="7">
                  <c:v>-8.1000000000000014</c:v>
                </c:pt>
                <c:pt idx="8">
                  <c:v>-8.9000000000000021</c:v>
                </c:pt>
                <c:pt idx="9">
                  <c:v>-11.100000000000001</c:v>
                </c:pt>
                <c:pt idx="10">
                  <c:v>-7.6000000000000014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-25.400000000000002</c:v>
                </c:pt>
                <c:pt idx="17">
                  <c:v>#N/A</c:v>
                </c:pt>
                <c:pt idx="18">
                  <c:v>#N/A</c:v>
                </c:pt>
                <c:pt idx="19">
                  <c:v>-26.500000000000004</c:v>
                </c:pt>
                <c:pt idx="20">
                  <c:v>#N/A</c:v>
                </c:pt>
                <c:pt idx="21">
                  <c:v>#N/A</c:v>
                </c:pt>
                <c:pt idx="22">
                  <c:v>-28.300000000000004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-35.800000000000004</c:v>
                </c:pt>
                <c:pt idx="29">
                  <c:v>#N/A</c:v>
                </c:pt>
                <c:pt idx="30">
                  <c:v>-50.2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-47.1</c:v>
                </c:pt>
                <c:pt idx="35">
                  <c:v>-47</c:v>
                </c:pt>
                <c:pt idx="36">
                  <c:v>-49.2</c:v>
                </c:pt>
                <c:pt idx="37">
                  <c:v>#N/A</c:v>
                </c:pt>
                <c:pt idx="38">
                  <c:v>#N/A</c:v>
                </c:pt>
                <c:pt idx="39">
                  <c:v>-50.5</c:v>
                </c:pt>
                <c:pt idx="40">
                  <c:v>#N/A</c:v>
                </c:pt>
                <c:pt idx="41">
                  <c:v>-48.4</c:v>
                </c:pt>
                <c:pt idx="42">
                  <c:v>#N/A</c:v>
                </c:pt>
                <c:pt idx="43">
                  <c:v>#N/A</c:v>
                </c:pt>
                <c:pt idx="44">
                  <c:v>-47.699999999998077</c:v>
                </c:pt>
                <c:pt idx="45">
                  <c:v>#N/A</c:v>
                </c:pt>
                <c:pt idx="46">
                  <c:v>-50.299999999999123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E-4CB1-9CFC-9A1287C3B926}"/>
            </c:ext>
          </c:extLst>
        </c:ser>
        <c:ser>
          <c:idx val="2"/>
          <c:order val="1"/>
          <c:tx>
            <c:strRef>
              <c:f>【参考】測量データ!$B$24</c:f>
              <c:strCache>
                <c:ptCount val="1"/>
                <c:pt idx="0">
                  <c:v>17.白)本通14丁目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【参考】測量データ!$E$24:$BB$24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8.6999999999999993</c:v>
                </c:pt>
                <c:pt idx="4">
                  <c:v>-5.6000000000000014</c:v>
                </c:pt>
                <c:pt idx="5">
                  <c:v>-10.000000000000002</c:v>
                </c:pt>
                <c:pt idx="6">
                  <c:v>-17.100000000000001</c:v>
                </c:pt>
                <c:pt idx="7">
                  <c:v>#N/A</c:v>
                </c:pt>
                <c:pt idx="8">
                  <c:v>-14.8</c:v>
                </c:pt>
                <c:pt idx="9">
                  <c:v>#N/A</c:v>
                </c:pt>
                <c:pt idx="10">
                  <c:v>-12.3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-33.299999999999997</c:v>
                </c:pt>
                <c:pt idx="17">
                  <c:v>#N/A</c:v>
                </c:pt>
                <c:pt idx="18">
                  <c:v>#N/A</c:v>
                </c:pt>
                <c:pt idx="19">
                  <c:v>-33.9</c:v>
                </c:pt>
                <c:pt idx="20">
                  <c:v>#N/A</c:v>
                </c:pt>
                <c:pt idx="21">
                  <c:v>#N/A</c:v>
                </c:pt>
                <c:pt idx="22">
                  <c:v>-35.9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-60.099999999999994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-57.099999999999994</c:v>
                </c:pt>
                <c:pt idx="36">
                  <c:v>-58.3</c:v>
                </c:pt>
                <c:pt idx="37">
                  <c:v>#N/A</c:v>
                </c:pt>
                <c:pt idx="38">
                  <c:v>#N/A</c:v>
                </c:pt>
                <c:pt idx="39">
                  <c:v>-60.5</c:v>
                </c:pt>
                <c:pt idx="40">
                  <c:v>#N/A</c:v>
                </c:pt>
                <c:pt idx="41">
                  <c:v>-58.2</c:v>
                </c:pt>
                <c:pt idx="42">
                  <c:v>#N/A</c:v>
                </c:pt>
                <c:pt idx="43">
                  <c:v>#N/A</c:v>
                </c:pt>
                <c:pt idx="44">
                  <c:v>-58.699999999998838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E-4CB1-9CFC-9A1287C3B926}"/>
            </c:ext>
          </c:extLst>
        </c:ser>
        <c:ser>
          <c:idx val="3"/>
          <c:order val="2"/>
          <c:tx>
            <c:strRef>
              <c:f>【参考】測量データ!$B$25</c:f>
              <c:strCache>
                <c:ptCount val="1"/>
                <c:pt idx="0">
                  <c:v>18.豊)西岡2条9丁目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【参考】測量データ!$E$25:$BB$25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-0.5</c:v>
                </c:pt>
                <c:pt idx="7">
                  <c:v>#N/A</c:v>
                </c:pt>
                <c:pt idx="8">
                  <c:v>-7.4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-9.6999999999999993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-7.7999999999999989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-21.4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-19.599999999999998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-21.999999999999996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-24.89999999999679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E-4CB1-9CFC-9A1287C3B926}"/>
            </c:ext>
          </c:extLst>
        </c:ser>
        <c:ser>
          <c:idx val="5"/>
          <c:order val="3"/>
          <c:tx>
            <c:strRef>
              <c:f>【参考】測量データ!$B$26</c:f>
              <c:strCache>
                <c:ptCount val="1"/>
                <c:pt idx="0">
                  <c:v>19.厚)厚別南6丁目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【参考】測量データ!$E$26:$BB$26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2.6</c:v>
                </c:pt>
                <c:pt idx="3">
                  <c:v>5.9</c:v>
                </c:pt>
                <c:pt idx="4">
                  <c:v>-5.7999999999999989</c:v>
                </c:pt>
                <c:pt idx="5">
                  <c:v>-10.799999999999999</c:v>
                </c:pt>
                <c:pt idx="6">
                  <c:v>-23.7</c:v>
                </c:pt>
                <c:pt idx="7">
                  <c:v>#N/A</c:v>
                </c:pt>
                <c:pt idx="8">
                  <c:v>-28.4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-50.099999999999994</c:v>
                </c:pt>
                <c:pt idx="17">
                  <c:v>#N/A</c:v>
                </c:pt>
                <c:pt idx="18">
                  <c:v>#N/A</c:v>
                </c:pt>
                <c:pt idx="19">
                  <c:v>-59.999999999999993</c:v>
                </c:pt>
                <c:pt idx="20">
                  <c:v>#N/A</c:v>
                </c:pt>
                <c:pt idx="21">
                  <c:v>#N/A</c:v>
                </c:pt>
                <c:pt idx="22">
                  <c:v>-67.399999999999991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-97.299999999999983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-100.49999999999999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-109.39999999999999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-112.69999999999585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E-4CB1-9CFC-9A1287C3B926}"/>
            </c:ext>
          </c:extLst>
        </c:ser>
        <c:ser>
          <c:idx val="0"/>
          <c:order val="4"/>
          <c:tx>
            <c:strRef>
              <c:f>【参考】測量データ!$B$27</c:f>
              <c:strCache>
                <c:ptCount val="1"/>
                <c:pt idx="0">
                  <c:v>20.厚)厚別中央4条3丁目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【参考】測量データ!$E$27:$BB$27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5.4</c:v>
                </c:pt>
                <c:pt idx="4">
                  <c:v>-9.6999999999999993</c:v>
                </c:pt>
                <c:pt idx="5">
                  <c:v>-11.6</c:v>
                </c:pt>
                <c:pt idx="6">
                  <c:v>-27.1</c:v>
                </c:pt>
                <c:pt idx="7">
                  <c:v>-23.900000000000002</c:v>
                </c:pt>
                <c:pt idx="8">
                  <c:v>-23.700000000000003</c:v>
                </c:pt>
                <c:pt idx="9">
                  <c:v>#N/A</c:v>
                </c:pt>
                <c:pt idx="10">
                  <c:v>-23.200000000000003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-48.2</c:v>
                </c:pt>
                <c:pt idx="17">
                  <c:v>#N/A</c:v>
                </c:pt>
                <c:pt idx="18">
                  <c:v>#N/A</c:v>
                </c:pt>
                <c:pt idx="19">
                  <c:v>-61</c:v>
                </c:pt>
                <c:pt idx="20">
                  <c:v>#N/A</c:v>
                </c:pt>
                <c:pt idx="21">
                  <c:v>#N/A</c:v>
                </c:pt>
                <c:pt idx="22">
                  <c:v>-67.900000000000006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-92.9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-94.2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-97.9</c:v>
                </c:pt>
                <c:pt idx="40">
                  <c:v>#N/A</c:v>
                </c:pt>
                <c:pt idx="41">
                  <c:v>-96.600000000000009</c:v>
                </c:pt>
                <c:pt idx="42">
                  <c:v>#N/A</c:v>
                </c:pt>
                <c:pt idx="43">
                  <c:v>#N/A</c:v>
                </c:pt>
                <c:pt idx="44">
                  <c:v>-98.5999999999989</c:v>
                </c:pt>
                <c:pt idx="45">
                  <c:v>#N/A</c:v>
                </c:pt>
                <c:pt idx="46">
                  <c:v>-99.300000000000821</c:v>
                </c:pt>
                <c:pt idx="47">
                  <c:v>#N/A</c:v>
                </c:pt>
                <c:pt idx="48">
                  <c:v>-99.899999999999423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EE-4CB1-9CFC-9A1287C3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18656"/>
        <c:axId val="196920448"/>
      </c:lineChart>
      <c:catAx>
        <c:axId val="1969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96920448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6920448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sz="900"/>
                  <a:t>累積沈下量</a:t>
                </a:r>
                <a:r>
                  <a:rPr lang="en-US" altLang="ja-JP" sz="900"/>
                  <a:t> [mm]</a:t>
                </a:r>
                <a:endParaRPr lang="ja-JP" sz="900"/>
              </a:p>
            </c:rich>
          </c:tx>
          <c:layout>
            <c:manualLayout>
              <c:xMode val="edge"/>
              <c:yMode val="edge"/>
              <c:x val="1.9434463015480824E-4"/>
              <c:y val="0.31161300204556114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969186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40456751105483"/>
          <c:y val="0.8264261879920487"/>
          <c:w val="0.53768975471057512"/>
          <c:h val="0.16681939645004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19232905822222"/>
          <c:y val="9.6197078171049555E-2"/>
          <c:w val="0.79217659516145078"/>
          <c:h val="0.66890526449171672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【参考】測量データ!$B$17</c:f>
              <c:strCache>
                <c:ptCount val="1"/>
                <c:pt idx="0">
                  <c:v>11.中)北4条東3丁目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【参考】測量データ!$E$17:$BB$17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4.7</c:v>
                </c:pt>
                <c:pt idx="3">
                  <c:v>3.8000000000000003</c:v>
                </c:pt>
                <c:pt idx="4">
                  <c:v>-5.7999999999999989</c:v>
                </c:pt>
                <c:pt idx="5">
                  <c:v>-9.8999999999999986</c:v>
                </c:pt>
                <c:pt idx="6">
                  <c:v>-10.199999999999999</c:v>
                </c:pt>
                <c:pt idx="7">
                  <c:v>-6.1</c:v>
                </c:pt>
                <c:pt idx="8">
                  <c:v>-10.1</c:v>
                </c:pt>
                <c:pt idx="9">
                  <c:v>-12</c:v>
                </c:pt>
                <c:pt idx="10">
                  <c:v>-15.9</c:v>
                </c:pt>
                <c:pt idx="11">
                  <c:v>-32.1</c:v>
                </c:pt>
                <c:pt idx="12">
                  <c:v>-29.6</c:v>
                </c:pt>
                <c:pt idx="13">
                  <c:v>-19.5</c:v>
                </c:pt>
                <c:pt idx="14">
                  <c:v>-24</c:v>
                </c:pt>
                <c:pt idx="15">
                  <c:v>-28.5</c:v>
                </c:pt>
                <c:pt idx="16">
                  <c:v>-25.9</c:v>
                </c:pt>
                <c:pt idx="17">
                  <c:v>-32.699999999999996</c:v>
                </c:pt>
                <c:pt idx="18">
                  <c:v>-30.599999999999994</c:v>
                </c:pt>
                <c:pt idx="19">
                  <c:v>-26.899999999999995</c:v>
                </c:pt>
                <c:pt idx="20">
                  <c:v>-31.999999999999993</c:v>
                </c:pt>
                <c:pt idx="21">
                  <c:v>-36.999999999999993</c:v>
                </c:pt>
                <c:pt idx="22">
                  <c:v>-31.399999999999991</c:v>
                </c:pt>
                <c:pt idx="23">
                  <c:v>-40.79999999999999</c:v>
                </c:pt>
                <c:pt idx="24">
                  <c:v>-40.099999999999987</c:v>
                </c:pt>
                <c:pt idx="25">
                  <c:v>-36.999999999999986</c:v>
                </c:pt>
                <c:pt idx="26">
                  <c:v>-43.199999999999989</c:v>
                </c:pt>
                <c:pt idx="27">
                  <c:v>-43.299999999999756</c:v>
                </c:pt>
                <c:pt idx="28">
                  <c:v>-35.699999999999754</c:v>
                </c:pt>
                <c:pt idx="29">
                  <c:v>-44.799999999999756</c:v>
                </c:pt>
                <c:pt idx="30">
                  <c:v>-50.099999999999753</c:v>
                </c:pt>
                <c:pt idx="31">
                  <c:v>#N/A</c:v>
                </c:pt>
                <c:pt idx="32">
                  <c:v>#N/A</c:v>
                </c:pt>
                <c:pt idx="33">
                  <c:v>-51.099999999999753</c:v>
                </c:pt>
                <c:pt idx="34">
                  <c:v>-53.699999999999754</c:v>
                </c:pt>
                <c:pt idx="35">
                  <c:v>-49.899999999999757</c:v>
                </c:pt>
                <c:pt idx="36">
                  <c:v>-51.999999999999758</c:v>
                </c:pt>
                <c:pt idx="37">
                  <c:v>#N/A</c:v>
                </c:pt>
                <c:pt idx="38">
                  <c:v>#N/A</c:v>
                </c:pt>
                <c:pt idx="39">
                  <c:v>-54.399999999999757</c:v>
                </c:pt>
                <c:pt idx="40">
                  <c:v>-53.09999999999976</c:v>
                </c:pt>
                <c:pt idx="41">
                  <c:v>-53.699999999999761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8-40F6-9003-445571155775}"/>
            </c:ext>
          </c:extLst>
        </c:ser>
        <c:ser>
          <c:idx val="2"/>
          <c:order val="1"/>
          <c:tx>
            <c:strRef>
              <c:f>【参考】測量データ!$B$18</c:f>
              <c:strCache>
                <c:ptCount val="1"/>
                <c:pt idx="0">
                  <c:v>12.中)南1条西14丁目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【参考】測量データ!$E$18:$BB$18</c:f>
              <c:numCache>
                <c:formatCode>0.0;[Red]\-0.0</c:formatCode>
                <c:ptCount val="50"/>
                <c:pt idx="0">
                  <c:v>-12.4</c:v>
                </c:pt>
                <c:pt idx="1">
                  <c:v>-9.5</c:v>
                </c:pt>
                <c:pt idx="2">
                  <c:v>-5.8</c:v>
                </c:pt>
                <c:pt idx="3">
                  <c:v>#N/A</c:v>
                </c:pt>
                <c:pt idx="4">
                  <c:v>-14.5</c:v>
                </c:pt>
                <c:pt idx="5">
                  <c:v>-13.8</c:v>
                </c:pt>
                <c:pt idx="6">
                  <c:v>-17.8</c:v>
                </c:pt>
                <c:pt idx="7">
                  <c:v>-13.700000000000001</c:v>
                </c:pt>
                <c:pt idx="8">
                  <c:v>-16.3</c:v>
                </c:pt>
                <c:pt idx="9">
                  <c:v>-17</c:v>
                </c:pt>
                <c:pt idx="10">
                  <c:v>-18.7</c:v>
                </c:pt>
                <c:pt idx="11">
                  <c:v>-28.2</c:v>
                </c:pt>
                <c:pt idx="12">
                  <c:v>-26.8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-23.7</c:v>
                </c:pt>
                <c:pt idx="17">
                  <c:v>#N/A</c:v>
                </c:pt>
                <c:pt idx="18">
                  <c:v>#N/A</c:v>
                </c:pt>
                <c:pt idx="19">
                  <c:v>-26.4</c:v>
                </c:pt>
                <c:pt idx="20">
                  <c:v>#N/A</c:v>
                </c:pt>
                <c:pt idx="21">
                  <c:v>#N/A</c:v>
                </c:pt>
                <c:pt idx="22">
                  <c:v>-27.799999999999997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-39.599999999999994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-42.399999999999991</c:v>
                </c:pt>
                <c:pt idx="35">
                  <c:v>-37.79999999999999</c:v>
                </c:pt>
                <c:pt idx="36">
                  <c:v>-40.199999999999989</c:v>
                </c:pt>
                <c:pt idx="37">
                  <c:v>#N/A</c:v>
                </c:pt>
                <c:pt idx="38">
                  <c:v>#N/A</c:v>
                </c:pt>
                <c:pt idx="39">
                  <c:v>-40.79999999999999</c:v>
                </c:pt>
                <c:pt idx="40">
                  <c:v>-39.699999999999989</c:v>
                </c:pt>
                <c:pt idx="41">
                  <c:v>-40.79999999999999</c:v>
                </c:pt>
                <c:pt idx="42">
                  <c:v>-39.899999999999991</c:v>
                </c:pt>
                <c:pt idx="43">
                  <c:v>#N/A</c:v>
                </c:pt>
                <c:pt idx="44">
                  <c:v>-39.799999999996672</c:v>
                </c:pt>
                <c:pt idx="45">
                  <c:v>-41.299999999996729</c:v>
                </c:pt>
                <c:pt idx="46">
                  <c:v>-41.99999999999865</c:v>
                </c:pt>
                <c:pt idx="47">
                  <c:v>-41.400000000000048</c:v>
                </c:pt>
                <c:pt idx="48">
                  <c:v>-42.399999999997718</c:v>
                </c:pt>
                <c:pt idx="49">
                  <c:v>-42.299999999997951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8-40F6-9003-445571155775}"/>
            </c:ext>
          </c:extLst>
        </c:ser>
        <c:ser>
          <c:idx val="3"/>
          <c:order val="2"/>
          <c:tx>
            <c:strRef>
              <c:f>【参考】測量データ!$B$19</c:f>
              <c:strCache>
                <c:ptCount val="1"/>
                <c:pt idx="0">
                  <c:v>13.中)南8条西2丁目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【参考】測量データ!$E$19:$BB$19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-6.1</c:v>
                </c:pt>
                <c:pt idx="5">
                  <c:v>-9.3000000000000007</c:v>
                </c:pt>
                <c:pt idx="6">
                  <c:v>-9.7000000000000011</c:v>
                </c:pt>
                <c:pt idx="7">
                  <c:v>#N/A</c:v>
                </c:pt>
                <c:pt idx="8">
                  <c:v>-10.9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-25.4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</c:v>
                </c:pt>
                <c:pt idx="17">
                  <c:v>#N/A</c:v>
                </c:pt>
                <c:pt idx="18">
                  <c:v>#N/A</c:v>
                </c:pt>
                <c:pt idx="19">
                  <c:v>-28.6</c:v>
                </c:pt>
                <c:pt idx="20">
                  <c:v>#N/A</c:v>
                </c:pt>
                <c:pt idx="21">
                  <c:v>#N/A</c:v>
                </c:pt>
                <c:pt idx="22">
                  <c:v>-29.400000000000002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-50.1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-51.7</c:v>
                </c:pt>
                <c:pt idx="35">
                  <c:v>-48</c:v>
                </c:pt>
                <c:pt idx="36">
                  <c:v>-49.4</c:v>
                </c:pt>
                <c:pt idx="37">
                  <c:v>#N/A</c:v>
                </c:pt>
                <c:pt idx="38">
                  <c:v>#N/A</c:v>
                </c:pt>
                <c:pt idx="39">
                  <c:v>-51.5</c:v>
                </c:pt>
                <c:pt idx="40">
                  <c:v>#N/A</c:v>
                </c:pt>
                <c:pt idx="41">
                  <c:v>-50</c:v>
                </c:pt>
                <c:pt idx="42">
                  <c:v>-51.6</c:v>
                </c:pt>
                <c:pt idx="43">
                  <c:v>#N/A</c:v>
                </c:pt>
                <c:pt idx="44">
                  <c:v>-50.299999999999478</c:v>
                </c:pt>
                <c:pt idx="45">
                  <c:v>#N/A</c:v>
                </c:pt>
                <c:pt idx="46">
                  <c:v>-55.50000000000157</c:v>
                </c:pt>
                <c:pt idx="47">
                  <c:v>-56.100000000003725</c:v>
                </c:pt>
                <c:pt idx="48">
                  <c:v>-57.800000000003315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8-40F6-9003-445571155775}"/>
            </c:ext>
          </c:extLst>
        </c:ser>
        <c:ser>
          <c:idx val="5"/>
          <c:order val="3"/>
          <c:tx>
            <c:strRef>
              <c:f>【参考】測量データ!$B$20</c:f>
              <c:strCache>
                <c:ptCount val="1"/>
                <c:pt idx="0">
                  <c:v>14.中)北2条西25丁目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【参考】測量データ!$E$20:$BB$20</c:f>
              <c:numCache>
                <c:formatCode>0.0;[Red]\-0.0</c:formatCode>
                <c:ptCount val="50"/>
                <c:pt idx="0">
                  <c:v>-26.1</c:v>
                </c:pt>
                <c:pt idx="1">
                  <c:v>-21.900000000000002</c:v>
                </c:pt>
                <c:pt idx="2">
                  <c:v>-15.300000000000002</c:v>
                </c:pt>
                <c:pt idx="3">
                  <c:v>#N/A</c:v>
                </c:pt>
                <c:pt idx="4">
                  <c:v>-31</c:v>
                </c:pt>
                <c:pt idx="5">
                  <c:v>-32</c:v>
                </c:pt>
                <c:pt idx="6">
                  <c:v>-32.799999999999997</c:v>
                </c:pt>
                <c:pt idx="7">
                  <c:v>-31.799999999999997</c:v>
                </c:pt>
                <c:pt idx="8">
                  <c:v>-33.699999999999996</c:v>
                </c:pt>
                <c:pt idx="9">
                  <c:v>-34.799999999999997</c:v>
                </c:pt>
                <c:pt idx="10">
                  <c:v>-37.5</c:v>
                </c:pt>
                <c:pt idx="11">
                  <c:v>-48.8</c:v>
                </c:pt>
                <c:pt idx="12">
                  <c:v>-48.4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-50.3</c:v>
                </c:pt>
                <c:pt idx="17">
                  <c:v>#N/A</c:v>
                </c:pt>
                <c:pt idx="18">
                  <c:v>#N/A</c:v>
                </c:pt>
                <c:pt idx="19">
                  <c:v>-53.699999999999996</c:v>
                </c:pt>
                <c:pt idx="20">
                  <c:v>#N/A</c:v>
                </c:pt>
                <c:pt idx="21">
                  <c:v>#N/A</c:v>
                </c:pt>
                <c:pt idx="22">
                  <c:v>-57.4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-71.5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-67.599999999999994</c:v>
                </c:pt>
                <c:pt idx="36">
                  <c:v>-68.5</c:v>
                </c:pt>
                <c:pt idx="37">
                  <c:v>#N/A</c:v>
                </c:pt>
                <c:pt idx="38">
                  <c:v>#N/A</c:v>
                </c:pt>
                <c:pt idx="39">
                  <c:v>-72</c:v>
                </c:pt>
                <c:pt idx="40">
                  <c:v>-71.7</c:v>
                </c:pt>
                <c:pt idx="41">
                  <c:v>-74</c:v>
                </c:pt>
                <c:pt idx="42">
                  <c:v>-74.099999999999994</c:v>
                </c:pt>
                <c:pt idx="43">
                  <c:v>#N/A</c:v>
                </c:pt>
                <c:pt idx="44">
                  <c:v>-75.200000000000983</c:v>
                </c:pt>
                <c:pt idx="45">
                  <c:v>-78.400000000000631</c:v>
                </c:pt>
                <c:pt idx="46">
                  <c:v>-78.999999999999233</c:v>
                </c:pt>
                <c:pt idx="47">
                  <c:v>-79.600000000001387</c:v>
                </c:pt>
                <c:pt idx="48">
                  <c:v>-81.300000000000978</c:v>
                </c:pt>
                <c:pt idx="49">
                  <c:v>-81.500000000000512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A8-40F6-9003-445571155775}"/>
            </c:ext>
          </c:extLst>
        </c:ser>
        <c:ser>
          <c:idx val="0"/>
          <c:order val="4"/>
          <c:tx>
            <c:strRef>
              <c:f>【参考】測量データ!$B$21</c:f>
              <c:strCache>
                <c:ptCount val="1"/>
                <c:pt idx="0">
                  <c:v>15.西)山の手2条1丁目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【参考】測量データ!$E$21:$BB$21</c:f>
              <c:numCache>
                <c:formatCode>0.0;[Red]\-0.0</c:formatCode>
                <c:ptCount val="50"/>
                <c:pt idx="0">
                  <c:v>-26.4</c:v>
                </c:pt>
                <c:pt idx="1">
                  <c:v>-21.799999999999997</c:v>
                </c:pt>
                <c:pt idx="2">
                  <c:v>-17.699999999999996</c:v>
                </c:pt>
                <c:pt idx="3">
                  <c:v>#N/A</c:v>
                </c:pt>
                <c:pt idx="4">
                  <c:v>-25.199999999999996</c:v>
                </c:pt>
                <c:pt idx="5">
                  <c:v>-24.999999999999996</c:v>
                </c:pt>
                <c:pt idx="6">
                  <c:v>-27.499999999999996</c:v>
                </c:pt>
                <c:pt idx="7">
                  <c:v>-23.099999999999994</c:v>
                </c:pt>
                <c:pt idx="8">
                  <c:v>-26.299999999999994</c:v>
                </c:pt>
                <c:pt idx="9">
                  <c:v>-24.699999999999992</c:v>
                </c:pt>
                <c:pt idx="10">
                  <c:v>-26.499999999999993</c:v>
                </c:pt>
                <c:pt idx="11">
                  <c:v>-32.199999999999996</c:v>
                </c:pt>
                <c:pt idx="12">
                  <c:v>-31.299999999999997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-33.5</c:v>
                </c:pt>
                <c:pt idx="17">
                  <c:v>#N/A</c:v>
                </c:pt>
                <c:pt idx="18">
                  <c:v>#N/A</c:v>
                </c:pt>
                <c:pt idx="19">
                  <c:v>-36.5</c:v>
                </c:pt>
                <c:pt idx="20">
                  <c:v>#N/A</c:v>
                </c:pt>
                <c:pt idx="21">
                  <c:v>#N/A</c:v>
                </c:pt>
                <c:pt idx="22">
                  <c:v>-38.4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-41.699999999999996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-45.699999999999996</c:v>
                </c:pt>
                <c:pt idx="35">
                  <c:v>-42.4</c:v>
                </c:pt>
                <c:pt idx="36">
                  <c:v>-41.4</c:v>
                </c:pt>
                <c:pt idx="37">
                  <c:v>-39.199999999999996</c:v>
                </c:pt>
                <c:pt idx="38">
                  <c:v>-42.499999999999993</c:v>
                </c:pt>
                <c:pt idx="39">
                  <c:v>-42.399999999999991</c:v>
                </c:pt>
                <c:pt idx="40">
                  <c:v>-41.399999999999991</c:v>
                </c:pt>
                <c:pt idx="41">
                  <c:v>-41.599999999999994</c:v>
                </c:pt>
                <c:pt idx="42">
                  <c:v>-40.799999999999997</c:v>
                </c:pt>
                <c:pt idx="43">
                  <c:v>#N/A</c:v>
                </c:pt>
                <c:pt idx="44">
                  <c:v>-40.600000000000463</c:v>
                </c:pt>
                <c:pt idx="45">
                  <c:v>-42.000000000000753</c:v>
                </c:pt>
                <c:pt idx="46">
                  <c:v>-42.599999999999355</c:v>
                </c:pt>
                <c:pt idx="47">
                  <c:v>-42.10000000000052</c:v>
                </c:pt>
                <c:pt idx="48">
                  <c:v>-42.399999999999821</c:v>
                </c:pt>
                <c:pt idx="49">
                  <c:v>-42.499999999999588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8-40F6-9003-44557115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28864"/>
        <c:axId val="197047040"/>
      </c:lineChart>
      <c:catAx>
        <c:axId val="1970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97047040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7047040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sz="900"/>
                  <a:t>累積沈下量</a:t>
                </a:r>
                <a:r>
                  <a:rPr lang="en-US" altLang="ja-JP" sz="900"/>
                  <a:t> [mm]</a:t>
                </a:r>
                <a:endParaRPr lang="ja-JP" sz="900"/>
              </a:p>
            </c:rich>
          </c:tx>
          <c:layout>
            <c:manualLayout>
              <c:xMode val="edge"/>
              <c:yMode val="edge"/>
              <c:x val="1.2629144824139864E-2"/>
              <c:y val="0.29977699425123755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97028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656522677818999"/>
          <c:y val="0.8253548318071442"/>
          <c:w val="0.53283595847959031"/>
          <c:h val="0.165698668556810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/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80836306027195"/>
          <c:y val="0.11076046332979449"/>
          <c:w val="0.74672648302419453"/>
          <c:h val="0.76803192728967606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【参考】測量データ!$B$23</c:f>
              <c:strCache>
                <c:ptCount val="1"/>
                <c:pt idx="0">
                  <c:v>16.白)本通1丁目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【参考】測量データ!$E$23:$BB$23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5</c:v>
                </c:pt>
                <c:pt idx="3">
                  <c:v>10.199999999999999</c:v>
                </c:pt>
                <c:pt idx="4">
                  <c:v>-4.5</c:v>
                </c:pt>
                <c:pt idx="5">
                  <c:v>-7.9</c:v>
                </c:pt>
                <c:pt idx="6">
                  <c:v>-10.9</c:v>
                </c:pt>
                <c:pt idx="7">
                  <c:v>-8.1000000000000014</c:v>
                </c:pt>
                <c:pt idx="8">
                  <c:v>-8.9000000000000021</c:v>
                </c:pt>
                <c:pt idx="9">
                  <c:v>-11.100000000000001</c:v>
                </c:pt>
                <c:pt idx="10">
                  <c:v>-7.6000000000000014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-25.400000000000002</c:v>
                </c:pt>
                <c:pt idx="17">
                  <c:v>#N/A</c:v>
                </c:pt>
                <c:pt idx="18">
                  <c:v>#N/A</c:v>
                </c:pt>
                <c:pt idx="19">
                  <c:v>-26.500000000000004</c:v>
                </c:pt>
                <c:pt idx="20">
                  <c:v>#N/A</c:v>
                </c:pt>
                <c:pt idx="21">
                  <c:v>#N/A</c:v>
                </c:pt>
                <c:pt idx="22">
                  <c:v>-28.300000000000004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-35.800000000000004</c:v>
                </c:pt>
                <c:pt idx="29">
                  <c:v>#N/A</c:v>
                </c:pt>
                <c:pt idx="30">
                  <c:v>-50.2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-47.1</c:v>
                </c:pt>
                <c:pt idx="35">
                  <c:v>-47</c:v>
                </c:pt>
                <c:pt idx="36">
                  <c:v>-49.2</c:v>
                </c:pt>
                <c:pt idx="37">
                  <c:v>#N/A</c:v>
                </c:pt>
                <c:pt idx="38">
                  <c:v>#N/A</c:v>
                </c:pt>
                <c:pt idx="39">
                  <c:v>-50.5</c:v>
                </c:pt>
                <c:pt idx="40">
                  <c:v>#N/A</c:v>
                </c:pt>
                <c:pt idx="41">
                  <c:v>-48.4</c:v>
                </c:pt>
                <c:pt idx="42">
                  <c:v>#N/A</c:v>
                </c:pt>
                <c:pt idx="43">
                  <c:v>#N/A</c:v>
                </c:pt>
                <c:pt idx="44">
                  <c:v>-47.699999999998077</c:v>
                </c:pt>
                <c:pt idx="45">
                  <c:v>#N/A</c:v>
                </c:pt>
                <c:pt idx="46">
                  <c:v>-50.299999999999123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2-4FF2-AA72-60BD4FC3E07E}"/>
            </c:ext>
          </c:extLst>
        </c:ser>
        <c:ser>
          <c:idx val="2"/>
          <c:order val="1"/>
          <c:tx>
            <c:strRef>
              <c:f>【参考】測量データ!$B$24</c:f>
              <c:strCache>
                <c:ptCount val="1"/>
                <c:pt idx="0">
                  <c:v>17.白)本通14丁目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【参考】測量データ!$E$24:$BB$24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8.6999999999999993</c:v>
                </c:pt>
                <c:pt idx="4">
                  <c:v>-5.6000000000000014</c:v>
                </c:pt>
                <c:pt idx="5">
                  <c:v>-10.000000000000002</c:v>
                </c:pt>
                <c:pt idx="6">
                  <c:v>-17.100000000000001</c:v>
                </c:pt>
                <c:pt idx="7">
                  <c:v>#N/A</c:v>
                </c:pt>
                <c:pt idx="8">
                  <c:v>-14.8</c:v>
                </c:pt>
                <c:pt idx="9">
                  <c:v>#N/A</c:v>
                </c:pt>
                <c:pt idx="10">
                  <c:v>-12.3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-33.299999999999997</c:v>
                </c:pt>
                <c:pt idx="17">
                  <c:v>#N/A</c:v>
                </c:pt>
                <c:pt idx="18">
                  <c:v>#N/A</c:v>
                </c:pt>
                <c:pt idx="19">
                  <c:v>-33.9</c:v>
                </c:pt>
                <c:pt idx="20">
                  <c:v>#N/A</c:v>
                </c:pt>
                <c:pt idx="21">
                  <c:v>#N/A</c:v>
                </c:pt>
                <c:pt idx="22">
                  <c:v>-35.9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-60.099999999999994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-57.099999999999994</c:v>
                </c:pt>
                <c:pt idx="36">
                  <c:v>-58.3</c:v>
                </c:pt>
                <c:pt idx="37">
                  <c:v>#N/A</c:v>
                </c:pt>
                <c:pt idx="38">
                  <c:v>#N/A</c:v>
                </c:pt>
                <c:pt idx="39">
                  <c:v>-60.5</c:v>
                </c:pt>
                <c:pt idx="40">
                  <c:v>#N/A</c:v>
                </c:pt>
                <c:pt idx="41">
                  <c:v>-58.2</c:v>
                </c:pt>
                <c:pt idx="42">
                  <c:v>#N/A</c:v>
                </c:pt>
                <c:pt idx="43">
                  <c:v>#N/A</c:v>
                </c:pt>
                <c:pt idx="44">
                  <c:v>-58.699999999998838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2-4FF2-AA72-60BD4FC3E07E}"/>
            </c:ext>
          </c:extLst>
        </c:ser>
        <c:ser>
          <c:idx val="3"/>
          <c:order val="2"/>
          <c:tx>
            <c:strRef>
              <c:f>【参考】測量データ!$B$25</c:f>
              <c:strCache>
                <c:ptCount val="1"/>
                <c:pt idx="0">
                  <c:v>18.豊)西岡2条9丁目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【参考】測量データ!$E$25:$BB$25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-0.5</c:v>
                </c:pt>
                <c:pt idx="7">
                  <c:v>#N/A</c:v>
                </c:pt>
                <c:pt idx="8">
                  <c:v>-7.4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-9.6999999999999993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-7.7999999999999989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-21.4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-19.599999999999998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-21.999999999999996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-24.89999999999679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2-4FF2-AA72-60BD4FC3E07E}"/>
            </c:ext>
          </c:extLst>
        </c:ser>
        <c:ser>
          <c:idx val="5"/>
          <c:order val="3"/>
          <c:tx>
            <c:strRef>
              <c:f>【参考】測量データ!$B$26</c:f>
              <c:strCache>
                <c:ptCount val="1"/>
                <c:pt idx="0">
                  <c:v>19.厚)厚別南6丁目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【参考】測量データ!$E$26:$BB$26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2.6</c:v>
                </c:pt>
                <c:pt idx="3">
                  <c:v>5.9</c:v>
                </c:pt>
                <c:pt idx="4">
                  <c:v>-5.7999999999999989</c:v>
                </c:pt>
                <c:pt idx="5">
                  <c:v>-10.799999999999999</c:v>
                </c:pt>
                <c:pt idx="6">
                  <c:v>-23.7</c:v>
                </c:pt>
                <c:pt idx="7">
                  <c:v>#N/A</c:v>
                </c:pt>
                <c:pt idx="8">
                  <c:v>-28.4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-50.099999999999994</c:v>
                </c:pt>
                <c:pt idx="17">
                  <c:v>#N/A</c:v>
                </c:pt>
                <c:pt idx="18">
                  <c:v>#N/A</c:v>
                </c:pt>
                <c:pt idx="19">
                  <c:v>-59.999999999999993</c:v>
                </c:pt>
                <c:pt idx="20">
                  <c:v>#N/A</c:v>
                </c:pt>
                <c:pt idx="21">
                  <c:v>#N/A</c:v>
                </c:pt>
                <c:pt idx="22">
                  <c:v>-67.399999999999991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-97.299999999999983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-100.49999999999999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-109.39999999999999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-112.69999999999585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82-4FF2-AA72-60BD4FC3E07E}"/>
            </c:ext>
          </c:extLst>
        </c:ser>
        <c:ser>
          <c:idx val="0"/>
          <c:order val="4"/>
          <c:tx>
            <c:strRef>
              <c:f>【参考】測量データ!$B$27</c:f>
              <c:strCache>
                <c:ptCount val="1"/>
                <c:pt idx="0">
                  <c:v>20.厚)厚別中央4条3丁目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【参考】測量データ!$E$27:$BB$27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5.4</c:v>
                </c:pt>
                <c:pt idx="4">
                  <c:v>-9.6999999999999993</c:v>
                </c:pt>
                <c:pt idx="5">
                  <c:v>-11.6</c:v>
                </c:pt>
                <c:pt idx="6">
                  <c:v>-27.1</c:v>
                </c:pt>
                <c:pt idx="7">
                  <c:v>-23.900000000000002</c:v>
                </c:pt>
                <c:pt idx="8">
                  <c:v>-23.700000000000003</c:v>
                </c:pt>
                <c:pt idx="9">
                  <c:v>#N/A</c:v>
                </c:pt>
                <c:pt idx="10">
                  <c:v>-23.200000000000003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-48.2</c:v>
                </c:pt>
                <c:pt idx="17">
                  <c:v>#N/A</c:v>
                </c:pt>
                <c:pt idx="18">
                  <c:v>#N/A</c:v>
                </c:pt>
                <c:pt idx="19">
                  <c:v>-61</c:v>
                </c:pt>
                <c:pt idx="20">
                  <c:v>#N/A</c:v>
                </c:pt>
                <c:pt idx="21">
                  <c:v>#N/A</c:v>
                </c:pt>
                <c:pt idx="22">
                  <c:v>-67.900000000000006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-92.9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-94.2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-97.9</c:v>
                </c:pt>
                <c:pt idx="40">
                  <c:v>#N/A</c:v>
                </c:pt>
                <c:pt idx="41">
                  <c:v>-96.600000000000009</c:v>
                </c:pt>
                <c:pt idx="42">
                  <c:v>#N/A</c:v>
                </c:pt>
                <c:pt idx="43">
                  <c:v>#N/A</c:v>
                </c:pt>
                <c:pt idx="44">
                  <c:v>-98.5999999999989</c:v>
                </c:pt>
                <c:pt idx="45">
                  <c:v>#N/A</c:v>
                </c:pt>
                <c:pt idx="46">
                  <c:v>-99.300000000000821</c:v>
                </c:pt>
                <c:pt idx="47">
                  <c:v>#N/A</c:v>
                </c:pt>
                <c:pt idx="48">
                  <c:v>-99.899999999999423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82-4FF2-AA72-60BD4FC3E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107712"/>
        <c:axId val="197109248"/>
      </c:lineChart>
      <c:catAx>
        <c:axId val="1971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97109248"/>
        <c:crossesAt val="-600"/>
        <c:auto val="1"/>
        <c:lblAlgn val="ctr"/>
        <c:lblOffset val="100"/>
        <c:tickLblSkip val="1"/>
        <c:tickMarkSkip val="1"/>
        <c:noMultiLvlLbl val="0"/>
      </c:catAx>
      <c:valAx>
        <c:axId val="197109248"/>
        <c:scaling>
          <c:orientation val="minMax"/>
          <c:max val="20"/>
          <c:min val="-1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/>
                </a:pPr>
                <a:r>
                  <a:rPr lang="ja-JP" sz="700"/>
                  <a:t>累積沈下量</a:t>
                </a:r>
                <a:r>
                  <a:rPr lang="en-US" altLang="ja-JP" sz="700"/>
                  <a:t> [mm]</a:t>
                </a:r>
                <a:endParaRPr lang="ja-JP" sz="700"/>
              </a:p>
            </c:rich>
          </c:tx>
          <c:layout>
            <c:manualLayout>
              <c:xMode val="edge"/>
              <c:yMode val="edge"/>
              <c:x val="2.7633118829671188E-2"/>
              <c:y val="0.26802922999905054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971077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"/>
          <c:y val="0.10239673201919088"/>
          <c:w val="0.80857142857142861"/>
          <c:h val="0.64240579430316802"/>
        </c:manualLayout>
      </c:layout>
      <c:lineChart>
        <c:grouping val="standard"/>
        <c:varyColors val="0"/>
        <c:ser>
          <c:idx val="2"/>
          <c:order val="0"/>
          <c:tx>
            <c:strRef>
              <c:f>【参考】測量データ!$B$11</c:f>
              <c:strCache>
                <c:ptCount val="1"/>
                <c:pt idx="0">
                  <c:v>６.厚)厚別町山本645番地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【参考】測量データ!$E$11:$BB$11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-67.400000000000006</c:v>
                </c:pt>
                <c:pt idx="4">
                  <c:v>-129.69999999999999</c:v>
                </c:pt>
                <c:pt idx="5">
                  <c:v>-168.5</c:v>
                </c:pt>
                <c:pt idx="6">
                  <c:v>-192.8</c:v>
                </c:pt>
                <c:pt idx="7">
                  <c:v>-199.10000000000002</c:v>
                </c:pt>
                <c:pt idx="8">
                  <c:v>-227.20000000000002</c:v>
                </c:pt>
                <c:pt idx="9">
                  <c:v>#N/A</c:v>
                </c:pt>
                <c:pt idx="10">
                  <c:v>-292.3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-546.4</c:v>
                </c:pt>
                <c:pt idx="23">
                  <c:v>#N/A</c:v>
                </c:pt>
                <c:pt idx="24">
                  <c:v>#N/A</c:v>
                </c:pt>
                <c:pt idx="25">
                  <c:v>-572.79999999999995</c:v>
                </c:pt>
                <c:pt idx="26">
                  <c:v>#N/A</c:v>
                </c:pt>
                <c:pt idx="27">
                  <c:v>#N/A</c:v>
                </c:pt>
                <c:pt idx="28">
                  <c:v>-590.69999999999993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-648.79999999999995</c:v>
                </c:pt>
                <c:pt idx="35">
                  <c:v>-647.59999999999991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-660.39999999999986</c:v>
                </c:pt>
                <c:pt idx="40">
                  <c:v>#N/A</c:v>
                </c:pt>
                <c:pt idx="41">
                  <c:v>-666.39999999999986</c:v>
                </c:pt>
                <c:pt idx="42">
                  <c:v>#N/A</c:v>
                </c:pt>
                <c:pt idx="43">
                  <c:v>#N/A</c:v>
                </c:pt>
                <c:pt idx="44">
                  <c:v>-675.30000000000041</c:v>
                </c:pt>
                <c:pt idx="45">
                  <c:v>#N/A</c:v>
                </c:pt>
                <c:pt idx="46">
                  <c:v>-691.1</c:v>
                </c:pt>
                <c:pt idx="47">
                  <c:v>#N/A</c:v>
                </c:pt>
                <c:pt idx="48">
                  <c:v>-694.69999999999959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6-492A-A1CD-E20189F675D0}"/>
            </c:ext>
          </c:extLst>
        </c:ser>
        <c:ser>
          <c:idx val="3"/>
          <c:order val="1"/>
          <c:tx>
            <c:strRef>
              <c:f>【参考】測量データ!$B$12</c:f>
              <c:strCache>
                <c:ptCount val="1"/>
                <c:pt idx="0">
                  <c:v>７.東)東苗穂7条2丁目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【参考】測量データ!$E$12:$BB$12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-16.5</c:v>
                </c:pt>
                <c:pt idx="3">
                  <c:v>-17.899999999999999</c:v>
                </c:pt>
                <c:pt idx="4">
                  <c:v>-71.699999999999989</c:v>
                </c:pt>
                <c:pt idx="5">
                  <c:v>-147.1</c:v>
                </c:pt>
                <c:pt idx="6">
                  <c:v>-165.79999999999998</c:v>
                </c:pt>
                <c:pt idx="7">
                  <c:v>-178.1</c:v>
                </c:pt>
                <c:pt idx="8">
                  <c:v>-221.6</c:v>
                </c:pt>
                <c:pt idx="9">
                  <c:v>-273.2</c:v>
                </c:pt>
                <c:pt idx="10">
                  <c:v>-340.7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-387.8</c:v>
                </c:pt>
                <c:pt idx="17">
                  <c:v>#N/A</c:v>
                </c:pt>
                <c:pt idx="18">
                  <c:v>#N/A</c:v>
                </c:pt>
                <c:pt idx="19">
                  <c:v>-407.3</c:v>
                </c:pt>
                <c:pt idx="20">
                  <c:v>#N/A</c:v>
                </c:pt>
                <c:pt idx="21">
                  <c:v>#N/A</c:v>
                </c:pt>
                <c:pt idx="22">
                  <c:v>-431.5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-465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-512.5</c:v>
                </c:pt>
                <c:pt idx="34">
                  <c:v>-525.79999999999995</c:v>
                </c:pt>
                <c:pt idx="35">
                  <c:v>#N/A</c:v>
                </c:pt>
                <c:pt idx="36">
                  <c:v>-566.4</c:v>
                </c:pt>
                <c:pt idx="37">
                  <c:v>-582.6</c:v>
                </c:pt>
                <c:pt idx="38">
                  <c:v>#N/A</c:v>
                </c:pt>
                <c:pt idx="39">
                  <c:v>#N/A</c:v>
                </c:pt>
                <c:pt idx="40">
                  <c:v>-598.20000000000005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-633.50000000000034</c:v>
                </c:pt>
                <c:pt idx="46">
                  <c:v>#N/A</c:v>
                </c:pt>
                <c:pt idx="47">
                  <c:v>#N/A</c:v>
                </c:pt>
                <c:pt idx="48">
                  <c:v>-649.00000000000068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6-492A-A1CD-E20189F675D0}"/>
            </c:ext>
          </c:extLst>
        </c:ser>
        <c:ser>
          <c:idx val="5"/>
          <c:order val="2"/>
          <c:tx>
            <c:strRef>
              <c:f>【参考】測量データ!$B$13</c:f>
              <c:strCache>
                <c:ptCount val="1"/>
                <c:pt idx="0">
                  <c:v>８.北)篠路町福移156番地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【参考】測量データ!$E$13:$BB$13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-14.3</c:v>
                </c:pt>
                <c:pt idx="7">
                  <c:v>-21.700000000000003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-271.89999999999998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-354.09999999999997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-473</c:v>
                </c:pt>
                <c:pt idx="34">
                  <c:v>-517</c:v>
                </c:pt>
                <c:pt idx="35">
                  <c:v>-536.20000000000005</c:v>
                </c:pt>
                <c:pt idx="36">
                  <c:v>-542.80000000000007</c:v>
                </c:pt>
                <c:pt idx="37">
                  <c:v>#N/A</c:v>
                </c:pt>
                <c:pt idx="38">
                  <c:v>-557.50000000000011</c:v>
                </c:pt>
                <c:pt idx="39">
                  <c:v>#N/A</c:v>
                </c:pt>
                <c:pt idx="40">
                  <c:v>-572.90000000000009</c:v>
                </c:pt>
                <c:pt idx="41">
                  <c:v>#N/A</c:v>
                </c:pt>
                <c:pt idx="42">
                  <c:v>#N/A</c:v>
                </c:pt>
                <c:pt idx="43">
                  <c:v>-582.00000000000011</c:v>
                </c:pt>
                <c:pt idx="44">
                  <c:v>#N/A</c:v>
                </c:pt>
                <c:pt idx="45">
                  <c:v>-591.29999999999973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6-492A-A1CD-E20189F675D0}"/>
            </c:ext>
          </c:extLst>
        </c:ser>
        <c:ser>
          <c:idx val="4"/>
          <c:order val="3"/>
          <c:tx>
            <c:strRef>
              <c:f>【参考】測量データ!$B$14</c:f>
              <c:strCache>
                <c:ptCount val="1"/>
                <c:pt idx="0">
                  <c:v>９.白)北郷3条11丁目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【参考】測量データ!$E$14:$BB$14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-79.599999999999994</c:v>
                </c:pt>
                <c:pt idx="4">
                  <c:v>-110.5</c:v>
                </c:pt>
                <c:pt idx="5">
                  <c:v>-149.1</c:v>
                </c:pt>
                <c:pt idx="6">
                  <c:v>-192.89999999999998</c:v>
                </c:pt>
                <c:pt idx="7">
                  <c:v>-194.99999999999997</c:v>
                </c:pt>
                <c:pt idx="8">
                  <c:v>-232.2</c:v>
                </c:pt>
                <c:pt idx="9">
                  <c:v>-253.2</c:v>
                </c:pt>
                <c:pt idx="10">
                  <c:v>-316.7</c:v>
                </c:pt>
                <c:pt idx="11">
                  <c:v>#N/A</c:v>
                </c:pt>
                <c:pt idx="12">
                  <c:v>#N/A</c:v>
                </c:pt>
                <c:pt idx="13">
                  <c:v>-347.2</c:v>
                </c:pt>
                <c:pt idx="14">
                  <c:v>#N/A</c:v>
                </c:pt>
                <c:pt idx="15">
                  <c:v>#N/A</c:v>
                </c:pt>
                <c:pt idx="16">
                  <c:v>-391.09999999999997</c:v>
                </c:pt>
                <c:pt idx="17">
                  <c:v>#N/A</c:v>
                </c:pt>
                <c:pt idx="18">
                  <c:v>#N/A</c:v>
                </c:pt>
                <c:pt idx="19">
                  <c:v>-403.4</c:v>
                </c:pt>
                <c:pt idx="20">
                  <c:v>#N/A</c:v>
                </c:pt>
                <c:pt idx="21">
                  <c:v>#N/A</c:v>
                </c:pt>
                <c:pt idx="22">
                  <c:v>-412.59999999999997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-427.59999999999997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-449.09999999999997</c:v>
                </c:pt>
                <c:pt idx="35">
                  <c:v>-447.7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-454.2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-456.90000000000077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66-492A-A1CD-E20189F675D0}"/>
            </c:ext>
          </c:extLst>
        </c:ser>
        <c:ser>
          <c:idx val="1"/>
          <c:order val="4"/>
          <c:tx>
            <c:strRef>
              <c:f>【参考】測量データ!$B$15</c:f>
              <c:strCache>
                <c:ptCount val="1"/>
                <c:pt idx="0">
                  <c:v>10.白)川北2261番地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【参考】測量データ!$E$15:$BB$15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-33.799999999999997</c:v>
                </c:pt>
                <c:pt idx="6">
                  <c:v>-65.900000000000006</c:v>
                </c:pt>
                <c:pt idx="7">
                  <c:v>-89.800000000000011</c:v>
                </c:pt>
                <c:pt idx="8">
                  <c:v>-130.20000000000002</c:v>
                </c:pt>
                <c:pt idx="9">
                  <c:v>-146.60000000000002</c:v>
                </c:pt>
                <c:pt idx="10">
                  <c:v>-168.00000000000003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-296.40000000000003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-339.40000000000003</c:v>
                </c:pt>
                <c:pt idx="26">
                  <c:v>#N/A</c:v>
                </c:pt>
                <c:pt idx="27">
                  <c:v>#N/A</c:v>
                </c:pt>
                <c:pt idx="28">
                  <c:v>-365.70000000000005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-451.20000000000005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-477.50000000000006</c:v>
                </c:pt>
                <c:pt idx="40">
                  <c:v>#N/A</c:v>
                </c:pt>
                <c:pt idx="41">
                  <c:v>-485.80000000000007</c:v>
                </c:pt>
                <c:pt idx="42">
                  <c:v>#N/A</c:v>
                </c:pt>
                <c:pt idx="43">
                  <c:v>#N/A</c:v>
                </c:pt>
                <c:pt idx="44">
                  <c:v>-495.99999999999937</c:v>
                </c:pt>
                <c:pt idx="45">
                  <c:v>#N/A</c:v>
                </c:pt>
                <c:pt idx="46">
                  <c:v>-511.19999999999948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66-492A-A1CD-E20189F67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96192"/>
        <c:axId val="197502080"/>
      </c:lineChart>
      <c:catAx>
        <c:axId val="1974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502080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7502080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累積沈下量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 [mm]</a:t>
                </a:r>
                <a:endParaRPr lang="ja-JP" alt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1.0492760132887191E-2"/>
              <c:y val="0.31450192557991297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97496192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508734412014942"/>
          <c:y val="0.80332914214862383"/>
          <c:w val="0.54282360521176176"/>
          <c:h val="0.1790950995706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54465261934516"/>
          <c:y val="9.5292340260842379E-2"/>
          <c:w val="0.78735853133567746"/>
          <c:h val="0.63808507760965272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【参考】測量データ!$B$5</c:f>
              <c:strCache>
                <c:ptCount val="1"/>
                <c:pt idx="0">
                  <c:v>１.東)北42条東10丁目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【参考】測量データ!$E$5:$BB$5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-19.399999999999999</c:v>
                </c:pt>
                <c:pt idx="3">
                  <c:v>-38.4</c:v>
                </c:pt>
                <c:pt idx="4">
                  <c:v>-68</c:v>
                </c:pt>
                <c:pt idx="5">
                  <c:v>-97.7</c:v>
                </c:pt>
                <c:pt idx="6">
                  <c:v>-112.5</c:v>
                </c:pt>
                <c:pt idx="7">
                  <c:v>-113.8</c:v>
                </c:pt>
                <c:pt idx="8">
                  <c:v>-128.4</c:v>
                </c:pt>
                <c:pt idx="9">
                  <c:v>-133.5</c:v>
                </c:pt>
                <c:pt idx="10">
                  <c:v>-169.1</c:v>
                </c:pt>
                <c:pt idx="11">
                  <c:v>#N/A</c:v>
                </c:pt>
                <c:pt idx="12">
                  <c:v>-216.7</c:v>
                </c:pt>
                <c:pt idx="13">
                  <c:v>-228.7</c:v>
                </c:pt>
                <c:pt idx="14">
                  <c:v>-230.2</c:v>
                </c:pt>
                <c:pt idx="15">
                  <c:v>-244.6</c:v>
                </c:pt>
                <c:pt idx="16">
                  <c:v>-250.4</c:v>
                </c:pt>
                <c:pt idx="17">
                  <c:v>-268.60000000000002</c:v>
                </c:pt>
                <c:pt idx="18">
                  <c:v>-271</c:v>
                </c:pt>
                <c:pt idx="19">
                  <c:v>-271.7</c:v>
                </c:pt>
                <c:pt idx="20">
                  <c:v>-281.3</c:v>
                </c:pt>
                <c:pt idx="21">
                  <c:v>-288.2</c:v>
                </c:pt>
                <c:pt idx="22">
                  <c:v>-291</c:v>
                </c:pt>
                <c:pt idx="23">
                  <c:v>-302.39999999999998</c:v>
                </c:pt>
                <c:pt idx="24">
                  <c:v>-304.7</c:v>
                </c:pt>
                <c:pt idx="25">
                  <c:v>-307.5</c:v>
                </c:pt>
                <c:pt idx="26">
                  <c:v>-313</c:v>
                </c:pt>
                <c:pt idx="27">
                  <c:v>-320.2000000000001</c:v>
                </c:pt>
                <c:pt idx="28">
                  <c:v>-314.50000000000011</c:v>
                </c:pt>
                <c:pt idx="29">
                  <c:v>-323.30000000000013</c:v>
                </c:pt>
                <c:pt idx="30">
                  <c:v>-329.10000000000014</c:v>
                </c:pt>
                <c:pt idx="31">
                  <c:v>-331.50000000000011</c:v>
                </c:pt>
                <c:pt idx="32">
                  <c:v>-332.80000000000013</c:v>
                </c:pt>
                <c:pt idx="33">
                  <c:v>-334.90000000000015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-340.80000000000013</c:v>
                </c:pt>
                <c:pt idx="38">
                  <c:v>-348.30000000000013</c:v>
                </c:pt>
                <c:pt idx="39">
                  <c:v>#N/A</c:v>
                </c:pt>
                <c:pt idx="40">
                  <c:v>-346.30000000000013</c:v>
                </c:pt>
                <c:pt idx="41">
                  <c:v>#N/A</c:v>
                </c:pt>
                <c:pt idx="42">
                  <c:v>#N/A</c:v>
                </c:pt>
                <c:pt idx="43">
                  <c:v>-347.90000000000015</c:v>
                </c:pt>
                <c:pt idx="44">
                  <c:v>#N/A</c:v>
                </c:pt>
                <c:pt idx="45">
                  <c:v>-353.69999999999993</c:v>
                </c:pt>
                <c:pt idx="46">
                  <c:v>#N/A</c:v>
                </c:pt>
                <c:pt idx="47">
                  <c:v>#N/A</c:v>
                </c:pt>
                <c:pt idx="48">
                  <c:v>-360.29999999999967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A-441D-8032-0F7CA7D6B28B}"/>
            </c:ext>
          </c:extLst>
        </c:ser>
        <c:ser>
          <c:idx val="2"/>
          <c:order val="1"/>
          <c:tx>
            <c:strRef>
              <c:f>【参考】測量データ!$B$6</c:f>
              <c:strCache>
                <c:ptCount val="1"/>
                <c:pt idx="0">
                  <c:v>２.東)北33条東2丁目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【参考】測量データ!$E$6:$BB$6</c:f>
              <c:numCache>
                <c:formatCode>0.0;[Red]\-0.0</c:formatCode>
                <c:ptCount val="50"/>
                <c:pt idx="0">
                  <c:v>-32.700000000000003</c:v>
                </c:pt>
                <c:pt idx="1">
                  <c:v>-67.800000000000011</c:v>
                </c:pt>
                <c:pt idx="2">
                  <c:v>-107.60000000000001</c:v>
                </c:pt>
                <c:pt idx="3">
                  <c:v>-98.300000000000011</c:v>
                </c:pt>
                <c:pt idx="4">
                  <c:v>-112.20000000000002</c:v>
                </c:pt>
                <c:pt idx="5">
                  <c:v>-165.70000000000002</c:v>
                </c:pt>
                <c:pt idx="6">
                  <c:v>-185.8</c:v>
                </c:pt>
                <c:pt idx="7">
                  <c:v>-187.8</c:v>
                </c:pt>
                <c:pt idx="8">
                  <c:v>-219</c:v>
                </c:pt>
                <c:pt idx="9">
                  <c:v>-247.1</c:v>
                </c:pt>
                <c:pt idx="10">
                  <c:v>-331</c:v>
                </c:pt>
                <c:pt idx="11">
                  <c:v>-377.3</c:v>
                </c:pt>
                <c:pt idx="12">
                  <c:v>-386.7</c:v>
                </c:pt>
                <c:pt idx="13">
                  <c:v>-375.9</c:v>
                </c:pt>
                <c:pt idx="14">
                  <c:v>-377.2</c:v>
                </c:pt>
                <c:pt idx="15">
                  <c:v>-387.7</c:v>
                </c:pt>
                <c:pt idx="16">
                  <c:v>-384.9</c:v>
                </c:pt>
                <c:pt idx="17">
                  <c:v>-394.59999999999997</c:v>
                </c:pt>
                <c:pt idx="18">
                  <c:v>-394.59999999999997</c:v>
                </c:pt>
                <c:pt idx="19">
                  <c:v>-391.99999999999994</c:v>
                </c:pt>
                <c:pt idx="20">
                  <c:v>-397.99999999999994</c:v>
                </c:pt>
                <c:pt idx="21">
                  <c:v>-404.59999999999997</c:v>
                </c:pt>
                <c:pt idx="22">
                  <c:v>-401.99999999999994</c:v>
                </c:pt>
                <c:pt idx="23">
                  <c:v>-412.09999999999997</c:v>
                </c:pt>
                <c:pt idx="24">
                  <c:v>-416.79999999999995</c:v>
                </c:pt>
                <c:pt idx="25">
                  <c:v>-416.19999999999993</c:v>
                </c:pt>
                <c:pt idx="26">
                  <c:v>-419.09999999999991</c:v>
                </c:pt>
                <c:pt idx="27">
                  <c:v>-426.20000000000022</c:v>
                </c:pt>
                <c:pt idx="28">
                  <c:v>-421.30000000000024</c:v>
                </c:pt>
                <c:pt idx="29">
                  <c:v>-428.60000000000025</c:v>
                </c:pt>
                <c:pt idx="30">
                  <c:v>-434.90000000000026</c:v>
                </c:pt>
                <c:pt idx="31">
                  <c:v>-438.40000000000026</c:v>
                </c:pt>
                <c:pt idx="32">
                  <c:v>-444.20000000000027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-458.3000000000003</c:v>
                </c:pt>
                <c:pt idx="38">
                  <c:v>-465.00000000000028</c:v>
                </c:pt>
                <c:pt idx="39">
                  <c:v>-461.8000000000003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-463.50000000000028</c:v>
                </c:pt>
                <c:pt idx="44">
                  <c:v>-469.20000000000033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A-441D-8032-0F7CA7D6B28B}"/>
            </c:ext>
          </c:extLst>
        </c:ser>
        <c:ser>
          <c:idx val="3"/>
          <c:order val="2"/>
          <c:tx>
            <c:strRef>
              <c:f>【参考】測量データ!$B$7</c:f>
              <c:strCache>
                <c:ptCount val="1"/>
                <c:pt idx="0">
                  <c:v>３.手)新発寒5条4丁目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0-5937-4720-BC0B-6BABEA9CB1BC}"/>
              </c:ext>
            </c:extLst>
          </c:dPt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【参考】測量データ!$E$7:$BB$7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-44</c:v>
                </c:pt>
                <c:pt idx="3">
                  <c:v>-77.2</c:v>
                </c:pt>
                <c:pt idx="4">
                  <c:v>-99.300000000000011</c:v>
                </c:pt>
                <c:pt idx="5">
                  <c:v>-140.80000000000001</c:v>
                </c:pt>
                <c:pt idx="6">
                  <c:v>-160.4</c:v>
                </c:pt>
                <c:pt idx="7">
                  <c:v>-159.4</c:v>
                </c:pt>
                <c:pt idx="8">
                  <c:v>#N/A</c:v>
                </c:pt>
                <c:pt idx="9">
                  <c:v>#N/A</c:v>
                </c:pt>
                <c:pt idx="10">
                  <c:v>-257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-365.3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-413.6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-458.6</c:v>
                </c:pt>
                <c:pt idx="29">
                  <c:v>-470.40000000000003</c:v>
                </c:pt>
                <c:pt idx="30">
                  <c:v>#N/A</c:v>
                </c:pt>
                <c:pt idx="31">
                  <c:v>-487.1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-527.9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-538.4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-579.79999999999984</c:v>
                </c:pt>
                <c:pt idx="48">
                  <c:v>#N/A</c:v>
                </c:pt>
                <c:pt idx="49">
                  <c:v>-580.69999999999993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A-441D-8032-0F7CA7D6B28B}"/>
            </c:ext>
          </c:extLst>
        </c:ser>
        <c:ser>
          <c:idx val="5"/>
          <c:order val="3"/>
          <c:tx>
            <c:strRef>
              <c:f>【参考】測量データ!$B$8</c:f>
              <c:strCache>
                <c:ptCount val="1"/>
                <c:pt idx="0">
                  <c:v>４.北)北18条西9丁目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【参考】測量データ!$E$8:$BB$8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-29.5</c:v>
                </c:pt>
                <c:pt idx="6">
                  <c:v>-42.7</c:v>
                </c:pt>
                <c:pt idx="7">
                  <c:v>-18.900000000000002</c:v>
                </c:pt>
                <c:pt idx="8">
                  <c:v>-51.7</c:v>
                </c:pt>
                <c:pt idx="9">
                  <c:v>-54.1</c:v>
                </c:pt>
                <c:pt idx="10">
                  <c:v>-71.3</c:v>
                </c:pt>
                <c:pt idx="11">
                  <c:v>-108.1</c:v>
                </c:pt>
                <c:pt idx="12">
                  <c:v>-114.5</c:v>
                </c:pt>
                <c:pt idx="13">
                  <c:v>-119.2</c:v>
                </c:pt>
                <c:pt idx="14">
                  <c:v>-110.4</c:v>
                </c:pt>
                <c:pt idx="15">
                  <c:v>-119.60000000000001</c:v>
                </c:pt>
                <c:pt idx="16">
                  <c:v>-132.9</c:v>
                </c:pt>
                <c:pt idx="17">
                  <c:v>-171</c:v>
                </c:pt>
                <c:pt idx="18">
                  <c:v>-161.1</c:v>
                </c:pt>
                <c:pt idx="19">
                  <c:v>-160.79999999999998</c:v>
                </c:pt>
                <c:pt idx="20">
                  <c:v>-168.29999999999998</c:v>
                </c:pt>
                <c:pt idx="21">
                  <c:v>-175.29999999999998</c:v>
                </c:pt>
                <c:pt idx="22">
                  <c:v>-168.99999999999997</c:v>
                </c:pt>
                <c:pt idx="23">
                  <c:v>-174.49999999999997</c:v>
                </c:pt>
                <c:pt idx="24">
                  <c:v>#N/A</c:v>
                </c:pt>
                <c:pt idx="25">
                  <c:v>#N/A</c:v>
                </c:pt>
                <c:pt idx="26">
                  <c:v>-179.39999999999998</c:v>
                </c:pt>
                <c:pt idx="27">
                  <c:v>-179.80000000000081</c:v>
                </c:pt>
                <c:pt idx="28">
                  <c:v>-173.9000000000008</c:v>
                </c:pt>
                <c:pt idx="29">
                  <c:v>-187.60000000000079</c:v>
                </c:pt>
                <c:pt idx="30">
                  <c:v>#N/A</c:v>
                </c:pt>
                <c:pt idx="31">
                  <c:v>-196.60000000000079</c:v>
                </c:pt>
                <c:pt idx="32">
                  <c:v>-201.9000000000008</c:v>
                </c:pt>
                <c:pt idx="33">
                  <c:v>-207.30000000000081</c:v>
                </c:pt>
                <c:pt idx="34">
                  <c:v>-219.4000000000008</c:v>
                </c:pt>
                <c:pt idx="35">
                  <c:v>-222.9000000000008</c:v>
                </c:pt>
                <c:pt idx="36">
                  <c:v>-221.4000000000008</c:v>
                </c:pt>
                <c:pt idx="37">
                  <c:v>-222.0000000000008</c:v>
                </c:pt>
                <c:pt idx="38">
                  <c:v>-226.20000000000078</c:v>
                </c:pt>
                <c:pt idx="39">
                  <c:v>#N/A</c:v>
                </c:pt>
                <c:pt idx="40">
                  <c:v>#N/A</c:v>
                </c:pt>
                <c:pt idx="41">
                  <c:v>-226.0000000000008</c:v>
                </c:pt>
                <c:pt idx="42">
                  <c:v>-224.20000000000078</c:v>
                </c:pt>
                <c:pt idx="43">
                  <c:v>-226.20000000000078</c:v>
                </c:pt>
                <c:pt idx="44">
                  <c:v>#N/A</c:v>
                </c:pt>
                <c:pt idx="45">
                  <c:v>#N/A</c:v>
                </c:pt>
                <c:pt idx="46">
                  <c:v>-237.80000000000041</c:v>
                </c:pt>
                <c:pt idx="47">
                  <c:v>-236.10000000000082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3A-441D-8032-0F7CA7D6B28B}"/>
            </c:ext>
          </c:extLst>
        </c:ser>
        <c:ser>
          <c:idx val="0"/>
          <c:order val="4"/>
          <c:tx>
            <c:strRef>
              <c:f>【参考】測量データ!$B$9</c:f>
              <c:strCache>
                <c:ptCount val="1"/>
                <c:pt idx="0">
                  <c:v>５.北)新琴似5条11丁目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【参考】測量データ!$E$9:$BB$9</c:f>
              <c:numCache>
                <c:formatCode>0.0;[Red]\-0.0</c:formatCode>
                <c:ptCount val="50"/>
                <c:pt idx="0">
                  <c:v>-21.7</c:v>
                </c:pt>
                <c:pt idx="1">
                  <c:v>-50</c:v>
                </c:pt>
                <c:pt idx="2">
                  <c:v>-61.7</c:v>
                </c:pt>
                <c:pt idx="3">
                  <c:v>-68.2</c:v>
                </c:pt>
                <c:pt idx="4">
                  <c:v>-81</c:v>
                </c:pt>
                <c:pt idx="5">
                  <c:v>-90.7</c:v>
                </c:pt>
                <c:pt idx="6">
                  <c:v>-98.4</c:v>
                </c:pt>
                <c:pt idx="7">
                  <c:v>-92.800000000000011</c:v>
                </c:pt>
                <c:pt idx="8">
                  <c:v>-99.200000000000017</c:v>
                </c:pt>
                <c:pt idx="9">
                  <c:v>-106.90000000000002</c:v>
                </c:pt>
                <c:pt idx="10">
                  <c:v>-123.60000000000002</c:v>
                </c:pt>
                <c:pt idx="11">
                  <c:v>-129.80000000000001</c:v>
                </c:pt>
                <c:pt idx="12">
                  <c:v>-134.4</c:v>
                </c:pt>
                <c:pt idx="13">
                  <c:v>-135.5</c:v>
                </c:pt>
                <c:pt idx="14">
                  <c:v>-141.80000000000001</c:v>
                </c:pt>
                <c:pt idx="15">
                  <c:v>-156.80000000000001</c:v>
                </c:pt>
                <c:pt idx="16">
                  <c:v>-157.4</c:v>
                </c:pt>
                <c:pt idx="17">
                  <c:v>-168.6</c:v>
                </c:pt>
                <c:pt idx="18">
                  <c:v>-168.79999999999998</c:v>
                </c:pt>
                <c:pt idx="19">
                  <c:v>-169.7</c:v>
                </c:pt>
                <c:pt idx="20">
                  <c:v>-176.39999999999998</c:v>
                </c:pt>
                <c:pt idx="21">
                  <c:v>-181.79999999999998</c:v>
                </c:pt>
                <c:pt idx="22">
                  <c:v>-190.79999999999998</c:v>
                </c:pt>
                <c:pt idx="23">
                  <c:v>-202.39999999999998</c:v>
                </c:pt>
                <c:pt idx="24">
                  <c:v>-197.89999999999998</c:v>
                </c:pt>
                <c:pt idx="25">
                  <c:v>-201.99999999999997</c:v>
                </c:pt>
                <c:pt idx="26">
                  <c:v>-203.69999999999996</c:v>
                </c:pt>
                <c:pt idx="27">
                  <c:v>-208.2999999999999</c:v>
                </c:pt>
                <c:pt idx="28">
                  <c:v>-207.09999999999991</c:v>
                </c:pt>
                <c:pt idx="29">
                  <c:v>-212.2999999999999</c:v>
                </c:pt>
                <c:pt idx="30">
                  <c:v>-220.49999999999989</c:v>
                </c:pt>
                <c:pt idx="31">
                  <c:v>-222.7999999999999</c:v>
                </c:pt>
                <c:pt idx="32">
                  <c:v>-229.39999999999989</c:v>
                </c:pt>
                <c:pt idx="33">
                  <c:v>-230.6999999999999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-233.39999999999989</c:v>
                </c:pt>
                <c:pt idx="38">
                  <c:v>#N/A</c:v>
                </c:pt>
                <c:pt idx="39">
                  <c:v>#N/A</c:v>
                </c:pt>
                <c:pt idx="40">
                  <c:v>-236.59999999999988</c:v>
                </c:pt>
                <c:pt idx="41">
                  <c:v>#N/A</c:v>
                </c:pt>
                <c:pt idx="42">
                  <c:v>-234.69999999999987</c:v>
                </c:pt>
                <c:pt idx="43">
                  <c:v>#N/A</c:v>
                </c:pt>
                <c:pt idx="44">
                  <c:v>#N/A</c:v>
                </c:pt>
                <c:pt idx="45">
                  <c:v>-237.50000000000045</c:v>
                </c:pt>
                <c:pt idx="46">
                  <c:v>#N/A</c:v>
                </c:pt>
                <c:pt idx="47">
                  <c:v>-240.50000000000057</c:v>
                </c:pt>
                <c:pt idx="48">
                  <c:v>-242.10000000000039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3A-441D-8032-0F7CA7D6B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283840"/>
        <c:axId val="197285376"/>
      </c:lineChart>
      <c:catAx>
        <c:axId val="1972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7285376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97285376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累積沈下量 </a:t>
                </a:r>
                <a:r>
                  <a:rPr lang="en-US" altLang="ja-JP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[mm]</a:t>
                </a:r>
                <a:endParaRPr lang="en-US" sz="9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2.2084683757898505E-2"/>
              <c:y val="0.30798566281729572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97283840"/>
        <c:crosses val="autoZero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784502452033309"/>
          <c:y val="0.79091223272377575"/>
          <c:w val="0.51966782336461714"/>
          <c:h val="0.188577748742105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lang="ja-JP" altLang="en-US" sz="10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75911056857523"/>
          <c:y val="0.1476197340947456"/>
          <c:w val="0.75000157849874249"/>
          <c:h val="0.73809867047372801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【参考】測量データ!$B$17</c:f>
              <c:strCache>
                <c:ptCount val="1"/>
                <c:pt idx="0">
                  <c:v>11.中)北4条東3丁目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【参考】測量データ!$E$17:$BB$17</c:f>
              <c:numCache>
                <c:formatCode>0.0;[Red]\-0.0</c:formatCode>
                <c:ptCount val="50"/>
                <c:pt idx="0">
                  <c:v>#N/A</c:v>
                </c:pt>
                <c:pt idx="1">
                  <c:v>0</c:v>
                </c:pt>
                <c:pt idx="2">
                  <c:v>4.7</c:v>
                </c:pt>
                <c:pt idx="3">
                  <c:v>3.8000000000000003</c:v>
                </c:pt>
                <c:pt idx="4">
                  <c:v>-5.7999999999999989</c:v>
                </c:pt>
                <c:pt idx="5">
                  <c:v>-9.8999999999999986</c:v>
                </c:pt>
                <c:pt idx="6">
                  <c:v>-10.199999999999999</c:v>
                </c:pt>
                <c:pt idx="7">
                  <c:v>-6.1</c:v>
                </c:pt>
                <c:pt idx="8">
                  <c:v>-10.1</c:v>
                </c:pt>
                <c:pt idx="9">
                  <c:v>-12</c:v>
                </c:pt>
                <c:pt idx="10">
                  <c:v>-15.9</c:v>
                </c:pt>
                <c:pt idx="11">
                  <c:v>-32.1</c:v>
                </c:pt>
                <c:pt idx="12">
                  <c:v>-29.6</c:v>
                </c:pt>
                <c:pt idx="13">
                  <c:v>-19.5</c:v>
                </c:pt>
                <c:pt idx="14">
                  <c:v>-24</c:v>
                </c:pt>
                <c:pt idx="15">
                  <c:v>-28.5</c:v>
                </c:pt>
                <c:pt idx="16">
                  <c:v>-25.9</c:v>
                </c:pt>
                <c:pt idx="17">
                  <c:v>-32.699999999999996</c:v>
                </c:pt>
                <c:pt idx="18">
                  <c:v>-30.599999999999994</c:v>
                </c:pt>
                <c:pt idx="19">
                  <c:v>-26.899999999999995</c:v>
                </c:pt>
                <c:pt idx="20">
                  <c:v>-31.999999999999993</c:v>
                </c:pt>
                <c:pt idx="21">
                  <c:v>-36.999999999999993</c:v>
                </c:pt>
                <c:pt idx="22">
                  <c:v>-31.399999999999991</c:v>
                </c:pt>
                <c:pt idx="23">
                  <c:v>-40.79999999999999</c:v>
                </c:pt>
                <c:pt idx="24">
                  <c:v>-40.099999999999987</c:v>
                </c:pt>
                <c:pt idx="25">
                  <c:v>-36.999999999999986</c:v>
                </c:pt>
                <c:pt idx="26">
                  <c:v>-43.199999999999989</c:v>
                </c:pt>
                <c:pt idx="27">
                  <c:v>-43.299999999999756</c:v>
                </c:pt>
                <c:pt idx="28">
                  <c:v>-35.699999999999754</c:v>
                </c:pt>
                <c:pt idx="29">
                  <c:v>-44.799999999999756</c:v>
                </c:pt>
                <c:pt idx="30">
                  <c:v>-50.099999999999753</c:v>
                </c:pt>
                <c:pt idx="31">
                  <c:v>#N/A</c:v>
                </c:pt>
                <c:pt idx="32">
                  <c:v>#N/A</c:v>
                </c:pt>
                <c:pt idx="33">
                  <c:v>-51.099999999999753</c:v>
                </c:pt>
                <c:pt idx="34">
                  <c:v>-53.699999999999754</c:v>
                </c:pt>
                <c:pt idx="35">
                  <c:v>-49.899999999999757</c:v>
                </c:pt>
                <c:pt idx="36">
                  <c:v>-51.999999999999758</c:v>
                </c:pt>
                <c:pt idx="37">
                  <c:v>#N/A</c:v>
                </c:pt>
                <c:pt idx="38">
                  <c:v>#N/A</c:v>
                </c:pt>
                <c:pt idx="39">
                  <c:v>-54.399999999999757</c:v>
                </c:pt>
                <c:pt idx="40">
                  <c:v>-53.09999999999976</c:v>
                </c:pt>
                <c:pt idx="41">
                  <c:v>-53.699999999999761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0-4B78-8A09-14FA40E84BD2}"/>
            </c:ext>
          </c:extLst>
        </c:ser>
        <c:ser>
          <c:idx val="2"/>
          <c:order val="1"/>
          <c:tx>
            <c:strRef>
              <c:f>【参考】測量データ!$B$18</c:f>
              <c:strCache>
                <c:ptCount val="1"/>
                <c:pt idx="0">
                  <c:v>12.中)南1条西14丁目</c:v>
                </c:pt>
              </c:strCache>
            </c:strRef>
          </c:tx>
          <c:spPr>
            <a:ln w="3175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【参考】測量データ!$E$18:$BB$18</c:f>
              <c:numCache>
                <c:formatCode>0.0;[Red]\-0.0</c:formatCode>
                <c:ptCount val="50"/>
                <c:pt idx="0">
                  <c:v>-12.4</c:v>
                </c:pt>
                <c:pt idx="1">
                  <c:v>-9.5</c:v>
                </c:pt>
                <c:pt idx="2">
                  <c:v>-5.8</c:v>
                </c:pt>
                <c:pt idx="3">
                  <c:v>#N/A</c:v>
                </c:pt>
                <c:pt idx="4">
                  <c:v>-14.5</c:v>
                </c:pt>
                <c:pt idx="5">
                  <c:v>-13.8</c:v>
                </c:pt>
                <c:pt idx="6">
                  <c:v>-17.8</c:v>
                </c:pt>
                <c:pt idx="7">
                  <c:v>-13.700000000000001</c:v>
                </c:pt>
                <c:pt idx="8">
                  <c:v>-16.3</c:v>
                </c:pt>
                <c:pt idx="9">
                  <c:v>-17</c:v>
                </c:pt>
                <c:pt idx="10">
                  <c:v>-18.7</c:v>
                </c:pt>
                <c:pt idx="11">
                  <c:v>-28.2</c:v>
                </c:pt>
                <c:pt idx="12">
                  <c:v>-26.8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-23.7</c:v>
                </c:pt>
                <c:pt idx="17">
                  <c:v>#N/A</c:v>
                </c:pt>
                <c:pt idx="18">
                  <c:v>#N/A</c:v>
                </c:pt>
                <c:pt idx="19">
                  <c:v>-26.4</c:v>
                </c:pt>
                <c:pt idx="20">
                  <c:v>#N/A</c:v>
                </c:pt>
                <c:pt idx="21">
                  <c:v>#N/A</c:v>
                </c:pt>
                <c:pt idx="22">
                  <c:v>-27.799999999999997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-39.599999999999994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-42.399999999999991</c:v>
                </c:pt>
                <c:pt idx="35">
                  <c:v>-37.79999999999999</c:v>
                </c:pt>
                <c:pt idx="36">
                  <c:v>-40.199999999999989</c:v>
                </c:pt>
                <c:pt idx="37">
                  <c:v>#N/A</c:v>
                </c:pt>
                <c:pt idx="38">
                  <c:v>#N/A</c:v>
                </c:pt>
                <c:pt idx="39">
                  <c:v>-40.79999999999999</c:v>
                </c:pt>
                <c:pt idx="40">
                  <c:v>-39.699999999999989</c:v>
                </c:pt>
                <c:pt idx="41">
                  <c:v>-40.79999999999999</c:v>
                </c:pt>
                <c:pt idx="42">
                  <c:v>-39.899999999999991</c:v>
                </c:pt>
                <c:pt idx="43">
                  <c:v>#N/A</c:v>
                </c:pt>
                <c:pt idx="44">
                  <c:v>-39.799999999996672</c:v>
                </c:pt>
                <c:pt idx="45">
                  <c:v>-41.299999999996729</c:v>
                </c:pt>
                <c:pt idx="46">
                  <c:v>-41.99999999999865</c:v>
                </c:pt>
                <c:pt idx="47">
                  <c:v>-41.400000000000048</c:v>
                </c:pt>
                <c:pt idx="48">
                  <c:v>-42.399999999997718</c:v>
                </c:pt>
                <c:pt idx="49">
                  <c:v>-42.299999999997951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0-4B78-8A09-14FA40E84BD2}"/>
            </c:ext>
          </c:extLst>
        </c:ser>
        <c:ser>
          <c:idx val="3"/>
          <c:order val="2"/>
          <c:tx>
            <c:strRef>
              <c:f>【参考】測量データ!$B$19</c:f>
              <c:strCache>
                <c:ptCount val="1"/>
                <c:pt idx="0">
                  <c:v>13.中)南8条西2丁目</c:v>
                </c:pt>
              </c:strCache>
            </c:strRef>
          </c:tx>
          <c:spPr>
            <a:ln w="3175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【参考】測量データ!$E$19:$BB$19</c:f>
              <c:numCache>
                <c:formatCode>0.0;[Red]\-0.0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-6.1</c:v>
                </c:pt>
                <c:pt idx="5">
                  <c:v>-9.3000000000000007</c:v>
                </c:pt>
                <c:pt idx="6">
                  <c:v>-9.7000000000000011</c:v>
                </c:pt>
                <c:pt idx="7">
                  <c:v>#N/A</c:v>
                </c:pt>
                <c:pt idx="8">
                  <c:v>-10.9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-25.4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</c:v>
                </c:pt>
                <c:pt idx="17">
                  <c:v>#N/A</c:v>
                </c:pt>
                <c:pt idx="18">
                  <c:v>#N/A</c:v>
                </c:pt>
                <c:pt idx="19">
                  <c:v>-28.6</c:v>
                </c:pt>
                <c:pt idx="20">
                  <c:v>#N/A</c:v>
                </c:pt>
                <c:pt idx="21">
                  <c:v>#N/A</c:v>
                </c:pt>
                <c:pt idx="22">
                  <c:v>-29.400000000000002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-50.1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-51.7</c:v>
                </c:pt>
                <c:pt idx="35">
                  <c:v>-48</c:v>
                </c:pt>
                <c:pt idx="36">
                  <c:v>-49.4</c:v>
                </c:pt>
                <c:pt idx="37">
                  <c:v>#N/A</c:v>
                </c:pt>
                <c:pt idx="38">
                  <c:v>#N/A</c:v>
                </c:pt>
                <c:pt idx="39">
                  <c:v>-51.5</c:v>
                </c:pt>
                <c:pt idx="40">
                  <c:v>#N/A</c:v>
                </c:pt>
                <c:pt idx="41">
                  <c:v>-50</c:v>
                </c:pt>
                <c:pt idx="42">
                  <c:v>-51.6</c:v>
                </c:pt>
                <c:pt idx="43">
                  <c:v>#N/A</c:v>
                </c:pt>
                <c:pt idx="44">
                  <c:v>-50.299999999999478</c:v>
                </c:pt>
                <c:pt idx="45">
                  <c:v>#N/A</c:v>
                </c:pt>
                <c:pt idx="46">
                  <c:v>-55.50000000000157</c:v>
                </c:pt>
                <c:pt idx="47">
                  <c:v>-56.100000000003725</c:v>
                </c:pt>
                <c:pt idx="48">
                  <c:v>-57.800000000003315</c:v>
                </c:pt>
                <c:pt idx="4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A0-4B78-8A09-14FA40E84BD2}"/>
            </c:ext>
          </c:extLst>
        </c:ser>
        <c:ser>
          <c:idx val="5"/>
          <c:order val="3"/>
          <c:tx>
            <c:strRef>
              <c:f>【参考】測量データ!$B$20</c:f>
              <c:strCache>
                <c:ptCount val="1"/>
                <c:pt idx="0">
                  <c:v>14.中)北2条西25丁目</c:v>
                </c:pt>
              </c:strCache>
            </c:strRef>
          </c:tx>
          <c:spPr>
            <a:ln w="3175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【参考】測量データ!$E$20:$BB$20</c:f>
              <c:numCache>
                <c:formatCode>0.0;[Red]\-0.0</c:formatCode>
                <c:ptCount val="50"/>
                <c:pt idx="0">
                  <c:v>-26.1</c:v>
                </c:pt>
                <c:pt idx="1">
                  <c:v>-21.900000000000002</c:v>
                </c:pt>
                <c:pt idx="2">
                  <c:v>-15.300000000000002</c:v>
                </c:pt>
                <c:pt idx="3">
                  <c:v>#N/A</c:v>
                </c:pt>
                <c:pt idx="4">
                  <c:v>-31</c:v>
                </c:pt>
                <c:pt idx="5">
                  <c:v>-32</c:v>
                </c:pt>
                <c:pt idx="6">
                  <c:v>-32.799999999999997</c:v>
                </c:pt>
                <c:pt idx="7">
                  <c:v>-31.799999999999997</c:v>
                </c:pt>
                <c:pt idx="8">
                  <c:v>-33.699999999999996</c:v>
                </c:pt>
                <c:pt idx="9">
                  <c:v>-34.799999999999997</c:v>
                </c:pt>
                <c:pt idx="10">
                  <c:v>-37.5</c:v>
                </c:pt>
                <c:pt idx="11">
                  <c:v>-48.8</c:v>
                </c:pt>
                <c:pt idx="12">
                  <c:v>-48.4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-50.3</c:v>
                </c:pt>
                <c:pt idx="17">
                  <c:v>#N/A</c:v>
                </c:pt>
                <c:pt idx="18">
                  <c:v>#N/A</c:v>
                </c:pt>
                <c:pt idx="19">
                  <c:v>-53.699999999999996</c:v>
                </c:pt>
                <c:pt idx="20">
                  <c:v>#N/A</c:v>
                </c:pt>
                <c:pt idx="21">
                  <c:v>#N/A</c:v>
                </c:pt>
                <c:pt idx="22">
                  <c:v>-57.4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-71.5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-67.599999999999994</c:v>
                </c:pt>
                <c:pt idx="36">
                  <c:v>-68.5</c:v>
                </c:pt>
                <c:pt idx="37">
                  <c:v>#N/A</c:v>
                </c:pt>
                <c:pt idx="38">
                  <c:v>#N/A</c:v>
                </c:pt>
                <c:pt idx="39">
                  <c:v>-72</c:v>
                </c:pt>
                <c:pt idx="40">
                  <c:v>-71.7</c:v>
                </c:pt>
                <c:pt idx="41">
                  <c:v>-74</c:v>
                </c:pt>
                <c:pt idx="42">
                  <c:v>-74.099999999999994</c:v>
                </c:pt>
                <c:pt idx="43">
                  <c:v>#N/A</c:v>
                </c:pt>
                <c:pt idx="44">
                  <c:v>-75.200000000000983</c:v>
                </c:pt>
                <c:pt idx="45">
                  <c:v>-78.400000000000631</c:v>
                </c:pt>
                <c:pt idx="46">
                  <c:v>-78.999999999999233</c:v>
                </c:pt>
                <c:pt idx="47">
                  <c:v>-79.600000000001387</c:v>
                </c:pt>
                <c:pt idx="48">
                  <c:v>-81.300000000000978</c:v>
                </c:pt>
                <c:pt idx="49">
                  <c:v>-81.500000000000512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A0-4B78-8A09-14FA40E84BD2}"/>
            </c:ext>
          </c:extLst>
        </c:ser>
        <c:ser>
          <c:idx val="0"/>
          <c:order val="4"/>
          <c:tx>
            <c:strRef>
              <c:f>【参考】測量データ!$B$21</c:f>
              <c:strCache>
                <c:ptCount val="1"/>
                <c:pt idx="0">
                  <c:v>15.西)山の手2条1丁目</c:v>
                </c:pt>
              </c:strCache>
            </c:strRef>
          </c:tx>
          <c:spPr>
            <a:ln w="3175">
              <a:solidFill>
                <a:srgbClr val="7030A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【参考】測量データ!$E$2:$BB$2</c:f>
              <c:strCache>
                <c:ptCount val="50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  <c:pt idx="49">
                  <c:v>R5</c:v>
                </c:pt>
              </c:strCache>
            </c:strRef>
          </c:cat>
          <c:val>
            <c:numRef>
              <c:f>【参考】測量データ!$E$21:$BB$21</c:f>
              <c:numCache>
                <c:formatCode>0.0;[Red]\-0.0</c:formatCode>
                <c:ptCount val="50"/>
                <c:pt idx="0">
                  <c:v>-26.4</c:v>
                </c:pt>
                <c:pt idx="1">
                  <c:v>-21.799999999999997</c:v>
                </c:pt>
                <c:pt idx="2">
                  <c:v>-17.699999999999996</c:v>
                </c:pt>
                <c:pt idx="3">
                  <c:v>#N/A</c:v>
                </c:pt>
                <c:pt idx="4">
                  <c:v>-25.199999999999996</c:v>
                </c:pt>
                <c:pt idx="5">
                  <c:v>-24.999999999999996</c:v>
                </c:pt>
                <c:pt idx="6">
                  <c:v>-27.499999999999996</c:v>
                </c:pt>
                <c:pt idx="7">
                  <c:v>-23.099999999999994</c:v>
                </c:pt>
                <c:pt idx="8">
                  <c:v>-26.299999999999994</c:v>
                </c:pt>
                <c:pt idx="9">
                  <c:v>-24.699999999999992</c:v>
                </c:pt>
                <c:pt idx="10">
                  <c:v>-26.499999999999993</c:v>
                </c:pt>
                <c:pt idx="11">
                  <c:v>-32.199999999999996</c:v>
                </c:pt>
                <c:pt idx="12">
                  <c:v>-31.299999999999997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-33.5</c:v>
                </c:pt>
                <c:pt idx="17">
                  <c:v>#N/A</c:v>
                </c:pt>
                <c:pt idx="18">
                  <c:v>#N/A</c:v>
                </c:pt>
                <c:pt idx="19">
                  <c:v>-36.5</c:v>
                </c:pt>
                <c:pt idx="20">
                  <c:v>#N/A</c:v>
                </c:pt>
                <c:pt idx="21">
                  <c:v>#N/A</c:v>
                </c:pt>
                <c:pt idx="22">
                  <c:v>-38.4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-41.699999999999996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-45.699999999999996</c:v>
                </c:pt>
                <c:pt idx="35">
                  <c:v>-42.4</c:v>
                </c:pt>
                <c:pt idx="36">
                  <c:v>-41.4</c:v>
                </c:pt>
                <c:pt idx="37">
                  <c:v>-39.199999999999996</c:v>
                </c:pt>
                <c:pt idx="38">
                  <c:v>-42.499999999999993</c:v>
                </c:pt>
                <c:pt idx="39">
                  <c:v>-42.399999999999991</c:v>
                </c:pt>
                <c:pt idx="40">
                  <c:v>-41.399999999999991</c:v>
                </c:pt>
                <c:pt idx="41">
                  <c:v>-41.599999999999994</c:v>
                </c:pt>
                <c:pt idx="42">
                  <c:v>-40.799999999999997</c:v>
                </c:pt>
                <c:pt idx="43">
                  <c:v>#N/A</c:v>
                </c:pt>
                <c:pt idx="44">
                  <c:v>-40.600000000000463</c:v>
                </c:pt>
                <c:pt idx="45">
                  <c:v>-42.000000000000753</c:v>
                </c:pt>
                <c:pt idx="46">
                  <c:v>-42.599999999999355</c:v>
                </c:pt>
                <c:pt idx="47">
                  <c:v>-42.10000000000052</c:v>
                </c:pt>
                <c:pt idx="48">
                  <c:v>-42.399999999999821</c:v>
                </c:pt>
                <c:pt idx="49">
                  <c:v>-42.499999999999588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A0-4B78-8A09-14FA40E8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349760"/>
        <c:axId val="197351296"/>
      </c:lineChart>
      <c:catAx>
        <c:axId val="19734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97351296"/>
        <c:crossesAt val="-600"/>
        <c:auto val="1"/>
        <c:lblAlgn val="ctr"/>
        <c:lblOffset val="100"/>
        <c:tickLblSkip val="1"/>
        <c:tickMarkSkip val="1"/>
        <c:noMultiLvlLbl val="0"/>
      </c:catAx>
      <c:valAx>
        <c:axId val="197351296"/>
        <c:scaling>
          <c:orientation val="minMax"/>
          <c:max val="20"/>
          <c:min val="-1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/>
                </a:pPr>
                <a:r>
                  <a:rPr lang="ja-JP" sz="700"/>
                  <a:t>累積沈下量</a:t>
                </a:r>
                <a:r>
                  <a:rPr lang="en-US" altLang="ja-JP" sz="700"/>
                  <a:t> [mm]</a:t>
                </a:r>
                <a:endParaRPr lang="ja-JP" sz="700"/>
              </a:p>
            </c:rich>
          </c:tx>
          <c:layout>
            <c:manualLayout>
              <c:xMode val="edge"/>
              <c:yMode val="edge"/>
              <c:x val="3.3000209141653802E-2"/>
              <c:y val="0.29081854641106397"/>
            </c:manualLayout>
          </c:layout>
          <c:overlay val="0"/>
          <c:spPr>
            <a:noFill/>
            <a:ln w="25400">
              <a:noFill/>
            </a:ln>
          </c:spPr>
        </c:title>
        <c:numFmt formatCode="0;\-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973497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74045495153602E-2"/>
          <c:y val="1.1810513699712515E-2"/>
          <c:w val="0.89109660696802007"/>
          <c:h val="0.79659228443395613"/>
        </c:manualLayout>
      </c:layout>
      <c:lineChart>
        <c:grouping val="standard"/>
        <c:varyColors val="0"/>
        <c:ser>
          <c:idx val="1"/>
          <c:order val="0"/>
          <c:tx>
            <c:strRef>
              <c:f>【参考】測量データ!$B$5</c:f>
              <c:strCache>
                <c:ptCount val="1"/>
                <c:pt idx="0">
                  <c:v>１.東)北42条東10丁目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【参考】測量データ!$E$5:$AX$5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-19.399999999999999</c:v>
                </c:pt>
                <c:pt idx="3">
                  <c:v>-38.4</c:v>
                </c:pt>
                <c:pt idx="4">
                  <c:v>-68</c:v>
                </c:pt>
                <c:pt idx="5">
                  <c:v>-97.7</c:v>
                </c:pt>
                <c:pt idx="6">
                  <c:v>-112.5</c:v>
                </c:pt>
                <c:pt idx="7">
                  <c:v>-113.8</c:v>
                </c:pt>
                <c:pt idx="8">
                  <c:v>-128.4</c:v>
                </c:pt>
                <c:pt idx="9">
                  <c:v>-133.5</c:v>
                </c:pt>
                <c:pt idx="10">
                  <c:v>-169.1</c:v>
                </c:pt>
                <c:pt idx="11">
                  <c:v>#N/A</c:v>
                </c:pt>
                <c:pt idx="12">
                  <c:v>-216.7</c:v>
                </c:pt>
                <c:pt idx="13">
                  <c:v>-228.7</c:v>
                </c:pt>
                <c:pt idx="14">
                  <c:v>-230.2</c:v>
                </c:pt>
                <c:pt idx="15">
                  <c:v>-244.6</c:v>
                </c:pt>
                <c:pt idx="16">
                  <c:v>-250.4</c:v>
                </c:pt>
                <c:pt idx="17">
                  <c:v>-268.60000000000002</c:v>
                </c:pt>
                <c:pt idx="18">
                  <c:v>-271</c:v>
                </c:pt>
                <c:pt idx="19">
                  <c:v>-271.7</c:v>
                </c:pt>
                <c:pt idx="20">
                  <c:v>-281.3</c:v>
                </c:pt>
                <c:pt idx="21">
                  <c:v>-288.2</c:v>
                </c:pt>
                <c:pt idx="22">
                  <c:v>-291</c:v>
                </c:pt>
                <c:pt idx="23">
                  <c:v>-302.39999999999998</c:v>
                </c:pt>
                <c:pt idx="24">
                  <c:v>-304.7</c:v>
                </c:pt>
                <c:pt idx="25">
                  <c:v>-307.5</c:v>
                </c:pt>
                <c:pt idx="26">
                  <c:v>-313</c:v>
                </c:pt>
                <c:pt idx="27">
                  <c:v>-320.2000000000001</c:v>
                </c:pt>
                <c:pt idx="28">
                  <c:v>-314.50000000000011</c:v>
                </c:pt>
                <c:pt idx="29">
                  <c:v>-323.30000000000013</c:v>
                </c:pt>
                <c:pt idx="30">
                  <c:v>-329.10000000000014</c:v>
                </c:pt>
                <c:pt idx="31">
                  <c:v>-331.50000000000011</c:v>
                </c:pt>
                <c:pt idx="32">
                  <c:v>-332.80000000000013</c:v>
                </c:pt>
                <c:pt idx="33">
                  <c:v>-334.90000000000015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-340.80000000000013</c:v>
                </c:pt>
                <c:pt idx="38">
                  <c:v>-348.30000000000013</c:v>
                </c:pt>
                <c:pt idx="39">
                  <c:v>#N/A</c:v>
                </c:pt>
                <c:pt idx="40">
                  <c:v>-346.30000000000013</c:v>
                </c:pt>
                <c:pt idx="41">
                  <c:v>#N/A</c:v>
                </c:pt>
                <c:pt idx="42">
                  <c:v>#N/A</c:v>
                </c:pt>
                <c:pt idx="43">
                  <c:v>-347.90000000000015</c:v>
                </c:pt>
                <c:pt idx="44">
                  <c:v>#N/A</c:v>
                </c:pt>
                <c:pt idx="45">
                  <c:v>-353.69999999999993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F-4BD4-8548-C9C8BE4BA178}"/>
            </c:ext>
          </c:extLst>
        </c:ser>
        <c:ser>
          <c:idx val="2"/>
          <c:order val="1"/>
          <c:tx>
            <c:strRef>
              <c:f>【参考】測量データ!$B$6</c:f>
              <c:strCache>
                <c:ptCount val="1"/>
                <c:pt idx="0">
                  <c:v>２.東)北33条東2丁目</c:v>
                </c:pt>
              </c:strCache>
            </c:strRef>
          </c:tx>
          <c:spPr>
            <a:ln w="3175">
              <a:solidFill>
                <a:srgbClr val="0000FF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【参考】測量データ!$E$6:$AX$6</c:f>
              <c:numCache>
                <c:formatCode>0.0;[Red]\-0.0</c:formatCode>
                <c:ptCount val="46"/>
                <c:pt idx="0">
                  <c:v>-32.700000000000003</c:v>
                </c:pt>
                <c:pt idx="1">
                  <c:v>-67.800000000000011</c:v>
                </c:pt>
                <c:pt idx="2">
                  <c:v>-107.60000000000001</c:v>
                </c:pt>
                <c:pt idx="3">
                  <c:v>-98.300000000000011</c:v>
                </c:pt>
                <c:pt idx="4">
                  <c:v>-112.20000000000002</c:v>
                </c:pt>
                <c:pt idx="5">
                  <c:v>-165.70000000000002</c:v>
                </c:pt>
                <c:pt idx="6">
                  <c:v>-185.8</c:v>
                </c:pt>
                <c:pt idx="7">
                  <c:v>-187.8</c:v>
                </c:pt>
                <c:pt idx="8">
                  <c:v>-219</c:v>
                </c:pt>
                <c:pt idx="9">
                  <c:v>-247.1</c:v>
                </c:pt>
                <c:pt idx="10">
                  <c:v>-331</c:v>
                </c:pt>
                <c:pt idx="11">
                  <c:v>-377.3</c:v>
                </c:pt>
                <c:pt idx="12">
                  <c:v>-386.7</c:v>
                </c:pt>
                <c:pt idx="13">
                  <c:v>-375.9</c:v>
                </c:pt>
                <c:pt idx="14">
                  <c:v>-377.2</c:v>
                </c:pt>
                <c:pt idx="15">
                  <c:v>-387.7</c:v>
                </c:pt>
                <c:pt idx="16">
                  <c:v>-384.9</c:v>
                </c:pt>
                <c:pt idx="17">
                  <c:v>-394.59999999999997</c:v>
                </c:pt>
                <c:pt idx="18">
                  <c:v>-394.59999999999997</c:v>
                </c:pt>
                <c:pt idx="19">
                  <c:v>-391.99999999999994</c:v>
                </c:pt>
                <c:pt idx="20">
                  <c:v>-397.99999999999994</c:v>
                </c:pt>
                <c:pt idx="21">
                  <c:v>-404.59999999999997</c:v>
                </c:pt>
                <c:pt idx="22">
                  <c:v>-401.99999999999994</c:v>
                </c:pt>
                <c:pt idx="23">
                  <c:v>-412.09999999999997</c:v>
                </c:pt>
                <c:pt idx="24">
                  <c:v>-416.79999999999995</c:v>
                </c:pt>
                <c:pt idx="25">
                  <c:v>-416.19999999999993</c:v>
                </c:pt>
                <c:pt idx="26">
                  <c:v>-419.09999999999991</c:v>
                </c:pt>
                <c:pt idx="27">
                  <c:v>-426.20000000000022</c:v>
                </c:pt>
                <c:pt idx="28">
                  <c:v>-421.30000000000024</c:v>
                </c:pt>
                <c:pt idx="29">
                  <c:v>-428.60000000000025</c:v>
                </c:pt>
                <c:pt idx="30">
                  <c:v>-434.90000000000026</c:v>
                </c:pt>
                <c:pt idx="31">
                  <c:v>-438.40000000000026</c:v>
                </c:pt>
                <c:pt idx="32">
                  <c:v>-444.20000000000027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-458.3000000000003</c:v>
                </c:pt>
                <c:pt idx="38">
                  <c:v>-465.00000000000028</c:v>
                </c:pt>
                <c:pt idx="39">
                  <c:v>-461.8000000000003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-463.50000000000028</c:v>
                </c:pt>
                <c:pt idx="44">
                  <c:v>-469.20000000000033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F-4BD4-8548-C9C8BE4BA178}"/>
            </c:ext>
          </c:extLst>
        </c:ser>
        <c:ser>
          <c:idx val="3"/>
          <c:order val="2"/>
          <c:tx>
            <c:strRef>
              <c:f>【参考】測量データ!$B$7</c:f>
              <c:strCache>
                <c:ptCount val="1"/>
                <c:pt idx="0">
                  <c:v>３.手)新発寒5条4丁目</c:v>
                </c:pt>
              </c:strCache>
            </c:strRef>
          </c:tx>
          <c:spPr>
            <a:ln w="3175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【参考】測量データ!$E$7:$AX$7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-44</c:v>
                </c:pt>
                <c:pt idx="3">
                  <c:v>-77.2</c:v>
                </c:pt>
                <c:pt idx="4">
                  <c:v>-99.300000000000011</c:v>
                </c:pt>
                <c:pt idx="5">
                  <c:v>-140.80000000000001</c:v>
                </c:pt>
                <c:pt idx="6">
                  <c:v>-160.4</c:v>
                </c:pt>
                <c:pt idx="7">
                  <c:v>-159.4</c:v>
                </c:pt>
                <c:pt idx="8">
                  <c:v>#N/A</c:v>
                </c:pt>
                <c:pt idx="9">
                  <c:v>#N/A</c:v>
                </c:pt>
                <c:pt idx="10">
                  <c:v>-257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-365.3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-413.6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-458.6</c:v>
                </c:pt>
                <c:pt idx="29">
                  <c:v>-470.40000000000003</c:v>
                </c:pt>
                <c:pt idx="30">
                  <c:v>#N/A</c:v>
                </c:pt>
                <c:pt idx="31">
                  <c:v>-487.1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-527.9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-538.4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F-4BD4-8548-C9C8BE4BA178}"/>
            </c:ext>
          </c:extLst>
        </c:ser>
        <c:ser>
          <c:idx val="5"/>
          <c:order val="3"/>
          <c:tx>
            <c:strRef>
              <c:f>【参考】測量データ!$B$8</c:f>
              <c:strCache>
                <c:ptCount val="1"/>
                <c:pt idx="0">
                  <c:v>４.北)北18条西9丁目</c:v>
                </c:pt>
              </c:strCache>
            </c:strRef>
          </c:tx>
          <c:spPr>
            <a:ln w="3175">
              <a:solidFill>
                <a:srgbClr val="0000FF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【参考】測量データ!$E$8:$AX$8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-29.5</c:v>
                </c:pt>
                <c:pt idx="6">
                  <c:v>-42.7</c:v>
                </c:pt>
                <c:pt idx="7">
                  <c:v>-18.900000000000002</c:v>
                </c:pt>
                <c:pt idx="8">
                  <c:v>-51.7</c:v>
                </c:pt>
                <c:pt idx="9">
                  <c:v>-54.1</c:v>
                </c:pt>
                <c:pt idx="10">
                  <c:v>-71.3</c:v>
                </c:pt>
                <c:pt idx="11">
                  <c:v>-108.1</c:v>
                </c:pt>
                <c:pt idx="12">
                  <c:v>-114.5</c:v>
                </c:pt>
                <c:pt idx="13">
                  <c:v>-119.2</c:v>
                </c:pt>
                <c:pt idx="14">
                  <c:v>-110.4</c:v>
                </c:pt>
                <c:pt idx="15">
                  <c:v>-119.60000000000001</c:v>
                </c:pt>
                <c:pt idx="16">
                  <c:v>-132.9</c:v>
                </c:pt>
                <c:pt idx="17">
                  <c:v>-171</c:v>
                </c:pt>
                <c:pt idx="18">
                  <c:v>-161.1</c:v>
                </c:pt>
                <c:pt idx="19">
                  <c:v>-160.79999999999998</c:v>
                </c:pt>
                <c:pt idx="20">
                  <c:v>-168.29999999999998</c:v>
                </c:pt>
                <c:pt idx="21">
                  <c:v>-175.29999999999998</c:v>
                </c:pt>
                <c:pt idx="22">
                  <c:v>-168.99999999999997</c:v>
                </c:pt>
                <c:pt idx="23">
                  <c:v>-174.49999999999997</c:v>
                </c:pt>
                <c:pt idx="24">
                  <c:v>#N/A</c:v>
                </c:pt>
                <c:pt idx="25">
                  <c:v>#N/A</c:v>
                </c:pt>
                <c:pt idx="26">
                  <c:v>-179.39999999999998</c:v>
                </c:pt>
                <c:pt idx="27">
                  <c:v>-179.80000000000081</c:v>
                </c:pt>
                <c:pt idx="28">
                  <c:v>-173.9000000000008</c:v>
                </c:pt>
                <c:pt idx="29">
                  <c:v>-187.60000000000079</c:v>
                </c:pt>
                <c:pt idx="30">
                  <c:v>#N/A</c:v>
                </c:pt>
                <c:pt idx="31">
                  <c:v>-196.60000000000079</c:v>
                </c:pt>
                <c:pt idx="32">
                  <c:v>-201.9000000000008</c:v>
                </c:pt>
                <c:pt idx="33">
                  <c:v>-207.30000000000081</c:v>
                </c:pt>
                <c:pt idx="34">
                  <c:v>-219.4000000000008</c:v>
                </c:pt>
                <c:pt idx="35">
                  <c:v>-222.9000000000008</c:v>
                </c:pt>
                <c:pt idx="36">
                  <c:v>-221.4000000000008</c:v>
                </c:pt>
                <c:pt idx="37">
                  <c:v>-222.0000000000008</c:v>
                </c:pt>
                <c:pt idx="38">
                  <c:v>-226.20000000000078</c:v>
                </c:pt>
                <c:pt idx="39">
                  <c:v>#N/A</c:v>
                </c:pt>
                <c:pt idx="40">
                  <c:v>#N/A</c:v>
                </c:pt>
                <c:pt idx="41">
                  <c:v>-226.0000000000008</c:v>
                </c:pt>
                <c:pt idx="42">
                  <c:v>-224.20000000000078</c:v>
                </c:pt>
                <c:pt idx="43">
                  <c:v>-226.20000000000078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BF-4BD4-8548-C9C8BE4BA178}"/>
            </c:ext>
          </c:extLst>
        </c:ser>
        <c:ser>
          <c:idx val="0"/>
          <c:order val="4"/>
          <c:tx>
            <c:strRef>
              <c:f>【参考】測量データ!$B$9</c:f>
              <c:strCache>
                <c:ptCount val="1"/>
                <c:pt idx="0">
                  <c:v>５.北)新琴似5条11丁目</c:v>
                </c:pt>
              </c:strCache>
            </c:strRef>
          </c:tx>
          <c:spPr>
            <a:ln w="3175">
              <a:solidFill>
                <a:srgbClr val="0000FF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【参考】測量データ!$E$9:$AX$9</c:f>
              <c:numCache>
                <c:formatCode>0.0;[Red]\-0.0</c:formatCode>
                <c:ptCount val="46"/>
                <c:pt idx="0">
                  <c:v>-21.7</c:v>
                </c:pt>
                <c:pt idx="1">
                  <c:v>-50</c:v>
                </c:pt>
                <c:pt idx="2">
                  <c:v>-61.7</c:v>
                </c:pt>
                <c:pt idx="3">
                  <c:v>-68.2</c:v>
                </c:pt>
                <c:pt idx="4">
                  <c:v>-81</c:v>
                </c:pt>
                <c:pt idx="5">
                  <c:v>-90.7</c:v>
                </c:pt>
                <c:pt idx="6">
                  <c:v>-98.4</c:v>
                </c:pt>
                <c:pt idx="7">
                  <c:v>-92.800000000000011</c:v>
                </c:pt>
                <c:pt idx="8">
                  <c:v>-99.200000000000017</c:v>
                </c:pt>
                <c:pt idx="9">
                  <c:v>-106.90000000000002</c:v>
                </c:pt>
                <c:pt idx="10">
                  <c:v>-123.60000000000002</c:v>
                </c:pt>
                <c:pt idx="11">
                  <c:v>-129.80000000000001</c:v>
                </c:pt>
                <c:pt idx="12">
                  <c:v>-134.4</c:v>
                </c:pt>
                <c:pt idx="13">
                  <c:v>-135.5</c:v>
                </c:pt>
                <c:pt idx="14">
                  <c:v>-141.80000000000001</c:v>
                </c:pt>
                <c:pt idx="15">
                  <c:v>-156.80000000000001</c:v>
                </c:pt>
                <c:pt idx="16">
                  <c:v>-157.4</c:v>
                </c:pt>
                <c:pt idx="17">
                  <c:v>-168.6</c:v>
                </c:pt>
                <c:pt idx="18">
                  <c:v>-168.79999999999998</c:v>
                </c:pt>
                <c:pt idx="19">
                  <c:v>-169.7</c:v>
                </c:pt>
                <c:pt idx="20">
                  <c:v>-176.39999999999998</c:v>
                </c:pt>
                <c:pt idx="21">
                  <c:v>-181.79999999999998</c:v>
                </c:pt>
                <c:pt idx="22">
                  <c:v>-190.79999999999998</c:v>
                </c:pt>
                <c:pt idx="23">
                  <c:v>-202.39999999999998</c:v>
                </c:pt>
                <c:pt idx="24">
                  <c:v>-197.89999999999998</c:v>
                </c:pt>
                <c:pt idx="25">
                  <c:v>-201.99999999999997</c:v>
                </c:pt>
                <c:pt idx="26">
                  <c:v>-203.69999999999996</c:v>
                </c:pt>
                <c:pt idx="27">
                  <c:v>-208.2999999999999</c:v>
                </c:pt>
                <c:pt idx="28">
                  <c:v>-207.09999999999991</c:v>
                </c:pt>
                <c:pt idx="29">
                  <c:v>-212.2999999999999</c:v>
                </c:pt>
                <c:pt idx="30">
                  <c:v>-220.49999999999989</c:v>
                </c:pt>
                <c:pt idx="31">
                  <c:v>-222.7999999999999</c:v>
                </c:pt>
                <c:pt idx="32">
                  <c:v>-229.39999999999989</c:v>
                </c:pt>
                <c:pt idx="33">
                  <c:v>-230.6999999999999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-233.39999999999989</c:v>
                </c:pt>
                <c:pt idx="38">
                  <c:v>#N/A</c:v>
                </c:pt>
                <c:pt idx="39">
                  <c:v>#N/A</c:v>
                </c:pt>
                <c:pt idx="40">
                  <c:v>-236.59999999999988</c:v>
                </c:pt>
                <c:pt idx="41">
                  <c:v>#N/A</c:v>
                </c:pt>
                <c:pt idx="42">
                  <c:v>-234.69999999999987</c:v>
                </c:pt>
                <c:pt idx="43">
                  <c:v>#N/A</c:v>
                </c:pt>
                <c:pt idx="44">
                  <c:v>#N/A</c:v>
                </c:pt>
                <c:pt idx="45">
                  <c:v>-237.50000000000045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BF-4BD4-8548-C9C8BE4BA178}"/>
            </c:ext>
          </c:extLst>
        </c:ser>
        <c:ser>
          <c:idx val="4"/>
          <c:order val="5"/>
          <c:tx>
            <c:strRef>
              <c:f>【参考】測量データ!$B$11</c:f>
              <c:strCache>
                <c:ptCount val="1"/>
                <c:pt idx="0">
                  <c:v>６.厚)厚別町山本645番地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【参考】測量データ!$E$11:$AX$11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-67.400000000000006</c:v>
                </c:pt>
                <c:pt idx="4">
                  <c:v>-129.69999999999999</c:v>
                </c:pt>
                <c:pt idx="5">
                  <c:v>-168.5</c:v>
                </c:pt>
                <c:pt idx="6">
                  <c:v>-192.8</c:v>
                </c:pt>
                <c:pt idx="7">
                  <c:v>-199.10000000000002</c:v>
                </c:pt>
                <c:pt idx="8">
                  <c:v>-227.20000000000002</c:v>
                </c:pt>
                <c:pt idx="9">
                  <c:v>#N/A</c:v>
                </c:pt>
                <c:pt idx="10">
                  <c:v>-292.3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-546.4</c:v>
                </c:pt>
                <c:pt idx="23">
                  <c:v>#N/A</c:v>
                </c:pt>
                <c:pt idx="24">
                  <c:v>#N/A</c:v>
                </c:pt>
                <c:pt idx="25">
                  <c:v>-572.79999999999995</c:v>
                </c:pt>
                <c:pt idx="26">
                  <c:v>#N/A</c:v>
                </c:pt>
                <c:pt idx="27">
                  <c:v>#N/A</c:v>
                </c:pt>
                <c:pt idx="28">
                  <c:v>-590.69999999999993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-648.79999999999995</c:v>
                </c:pt>
                <c:pt idx="35">
                  <c:v>-647.59999999999991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-660.39999999999986</c:v>
                </c:pt>
                <c:pt idx="40">
                  <c:v>#N/A</c:v>
                </c:pt>
                <c:pt idx="41">
                  <c:v>-666.39999999999986</c:v>
                </c:pt>
                <c:pt idx="42">
                  <c:v>#N/A</c:v>
                </c:pt>
                <c:pt idx="43">
                  <c:v>#N/A</c:v>
                </c:pt>
                <c:pt idx="44">
                  <c:v>-675.30000000000041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BF-4BD4-8548-C9C8BE4BA178}"/>
            </c:ext>
          </c:extLst>
        </c:ser>
        <c:ser>
          <c:idx val="6"/>
          <c:order val="6"/>
          <c:tx>
            <c:strRef>
              <c:f>【参考】測量データ!$B$12</c:f>
              <c:strCache>
                <c:ptCount val="1"/>
                <c:pt idx="0">
                  <c:v>７.東)東苗穂7条2丁目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【参考】測量データ!$E$12:$AX$12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-16.5</c:v>
                </c:pt>
                <c:pt idx="3">
                  <c:v>-17.899999999999999</c:v>
                </c:pt>
                <c:pt idx="4">
                  <c:v>-71.699999999999989</c:v>
                </c:pt>
                <c:pt idx="5">
                  <c:v>-147.1</c:v>
                </c:pt>
                <c:pt idx="6">
                  <c:v>-165.79999999999998</c:v>
                </c:pt>
                <c:pt idx="7">
                  <c:v>-178.1</c:v>
                </c:pt>
                <c:pt idx="8">
                  <c:v>-221.6</c:v>
                </c:pt>
                <c:pt idx="9">
                  <c:v>-273.2</c:v>
                </c:pt>
                <c:pt idx="10">
                  <c:v>-340.7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-387.8</c:v>
                </c:pt>
                <c:pt idx="17">
                  <c:v>#N/A</c:v>
                </c:pt>
                <c:pt idx="18">
                  <c:v>#N/A</c:v>
                </c:pt>
                <c:pt idx="19">
                  <c:v>-407.3</c:v>
                </c:pt>
                <c:pt idx="20">
                  <c:v>#N/A</c:v>
                </c:pt>
                <c:pt idx="21">
                  <c:v>#N/A</c:v>
                </c:pt>
                <c:pt idx="22">
                  <c:v>-431.5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-465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-512.5</c:v>
                </c:pt>
                <c:pt idx="34">
                  <c:v>-525.79999999999995</c:v>
                </c:pt>
                <c:pt idx="35">
                  <c:v>#N/A</c:v>
                </c:pt>
                <c:pt idx="36">
                  <c:v>-566.4</c:v>
                </c:pt>
                <c:pt idx="37">
                  <c:v>-582.6</c:v>
                </c:pt>
                <c:pt idx="38">
                  <c:v>#N/A</c:v>
                </c:pt>
                <c:pt idx="39">
                  <c:v>#N/A</c:v>
                </c:pt>
                <c:pt idx="40">
                  <c:v>-598.20000000000005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-633.50000000000034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BF-4BD4-8548-C9C8BE4BA178}"/>
            </c:ext>
          </c:extLst>
        </c:ser>
        <c:ser>
          <c:idx val="7"/>
          <c:order val="7"/>
          <c:tx>
            <c:strRef>
              <c:f>【参考】測量データ!$B$13</c:f>
              <c:strCache>
                <c:ptCount val="1"/>
                <c:pt idx="0">
                  <c:v>８.北)篠路町福移156番地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【参考】測量データ!$E$13:$AX$13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-14.3</c:v>
                </c:pt>
                <c:pt idx="7">
                  <c:v>-21.700000000000003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-271.89999999999998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-354.09999999999997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-473</c:v>
                </c:pt>
                <c:pt idx="34">
                  <c:v>-517</c:v>
                </c:pt>
                <c:pt idx="35">
                  <c:v>-536.20000000000005</c:v>
                </c:pt>
                <c:pt idx="36">
                  <c:v>-542.80000000000007</c:v>
                </c:pt>
                <c:pt idx="37">
                  <c:v>#N/A</c:v>
                </c:pt>
                <c:pt idx="38">
                  <c:v>-557.50000000000011</c:v>
                </c:pt>
                <c:pt idx="39">
                  <c:v>#N/A</c:v>
                </c:pt>
                <c:pt idx="40">
                  <c:v>-572.90000000000009</c:v>
                </c:pt>
                <c:pt idx="41">
                  <c:v>#N/A</c:v>
                </c:pt>
                <c:pt idx="42">
                  <c:v>#N/A</c:v>
                </c:pt>
                <c:pt idx="43">
                  <c:v>-582.00000000000011</c:v>
                </c:pt>
                <c:pt idx="44">
                  <c:v>#N/A</c:v>
                </c:pt>
                <c:pt idx="45">
                  <c:v>-591.29999999999973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BF-4BD4-8548-C9C8BE4BA178}"/>
            </c:ext>
          </c:extLst>
        </c:ser>
        <c:ser>
          <c:idx val="8"/>
          <c:order val="8"/>
          <c:tx>
            <c:strRef>
              <c:f>【参考】測量データ!$B$14</c:f>
              <c:strCache>
                <c:ptCount val="1"/>
                <c:pt idx="0">
                  <c:v>９.白)北郷3条11丁目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【参考】測量データ!$E$14:$AX$14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-79.599999999999994</c:v>
                </c:pt>
                <c:pt idx="4">
                  <c:v>-110.5</c:v>
                </c:pt>
                <c:pt idx="5">
                  <c:v>-149.1</c:v>
                </c:pt>
                <c:pt idx="6">
                  <c:v>-192.89999999999998</c:v>
                </c:pt>
                <c:pt idx="7">
                  <c:v>-194.99999999999997</c:v>
                </c:pt>
                <c:pt idx="8">
                  <c:v>-232.2</c:v>
                </c:pt>
                <c:pt idx="9">
                  <c:v>-253.2</c:v>
                </c:pt>
                <c:pt idx="10">
                  <c:v>-316.7</c:v>
                </c:pt>
                <c:pt idx="11">
                  <c:v>#N/A</c:v>
                </c:pt>
                <c:pt idx="12">
                  <c:v>#N/A</c:v>
                </c:pt>
                <c:pt idx="13">
                  <c:v>-347.2</c:v>
                </c:pt>
                <c:pt idx="14">
                  <c:v>#N/A</c:v>
                </c:pt>
                <c:pt idx="15">
                  <c:v>#N/A</c:v>
                </c:pt>
                <c:pt idx="16">
                  <c:v>-391.09999999999997</c:v>
                </c:pt>
                <c:pt idx="17">
                  <c:v>#N/A</c:v>
                </c:pt>
                <c:pt idx="18">
                  <c:v>#N/A</c:v>
                </c:pt>
                <c:pt idx="19">
                  <c:v>-403.4</c:v>
                </c:pt>
                <c:pt idx="20">
                  <c:v>#N/A</c:v>
                </c:pt>
                <c:pt idx="21">
                  <c:v>#N/A</c:v>
                </c:pt>
                <c:pt idx="22">
                  <c:v>-412.59999999999997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-427.59999999999997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-449.09999999999997</c:v>
                </c:pt>
                <c:pt idx="35">
                  <c:v>-447.7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-454.2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-456.90000000000077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BF-4BD4-8548-C9C8BE4BA178}"/>
            </c:ext>
          </c:extLst>
        </c:ser>
        <c:ser>
          <c:idx val="9"/>
          <c:order val="9"/>
          <c:tx>
            <c:strRef>
              <c:f>【参考】測量データ!$B$15</c:f>
              <c:strCache>
                <c:ptCount val="1"/>
                <c:pt idx="0">
                  <c:v>10.白)川北2261番地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【参考】測量データ!$E$15:$AX$15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-33.799999999999997</c:v>
                </c:pt>
                <c:pt idx="6">
                  <c:v>-65.900000000000006</c:v>
                </c:pt>
                <c:pt idx="7">
                  <c:v>-89.800000000000011</c:v>
                </c:pt>
                <c:pt idx="8">
                  <c:v>-130.20000000000002</c:v>
                </c:pt>
                <c:pt idx="9">
                  <c:v>-146.60000000000002</c:v>
                </c:pt>
                <c:pt idx="10">
                  <c:v>-168.00000000000003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-296.40000000000003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-339.40000000000003</c:v>
                </c:pt>
                <c:pt idx="26">
                  <c:v>#N/A</c:v>
                </c:pt>
                <c:pt idx="27">
                  <c:v>#N/A</c:v>
                </c:pt>
                <c:pt idx="28">
                  <c:v>-365.70000000000005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-451.20000000000005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-477.50000000000006</c:v>
                </c:pt>
                <c:pt idx="40">
                  <c:v>#N/A</c:v>
                </c:pt>
                <c:pt idx="41">
                  <c:v>-485.80000000000007</c:v>
                </c:pt>
                <c:pt idx="42">
                  <c:v>#N/A</c:v>
                </c:pt>
                <c:pt idx="43">
                  <c:v>#N/A</c:v>
                </c:pt>
                <c:pt idx="44">
                  <c:v>-495.99999999999937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BF-4BD4-8548-C9C8BE4BA178}"/>
            </c:ext>
          </c:extLst>
        </c:ser>
        <c:ser>
          <c:idx val="10"/>
          <c:order val="10"/>
          <c:tx>
            <c:strRef>
              <c:f>【参考】測量データ!$B$17</c:f>
              <c:strCache>
                <c:ptCount val="1"/>
                <c:pt idx="0">
                  <c:v>11.中)北4条東3丁目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【参考】測量データ!$E$17:$AX$17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4.7</c:v>
                </c:pt>
                <c:pt idx="3">
                  <c:v>3.8000000000000003</c:v>
                </c:pt>
                <c:pt idx="4">
                  <c:v>-5.7999999999999989</c:v>
                </c:pt>
                <c:pt idx="5">
                  <c:v>-9.8999999999999986</c:v>
                </c:pt>
                <c:pt idx="6">
                  <c:v>-10.199999999999999</c:v>
                </c:pt>
                <c:pt idx="7">
                  <c:v>-6.1</c:v>
                </c:pt>
                <c:pt idx="8">
                  <c:v>-10.1</c:v>
                </c:pt>
                <c:pt idx="9">
                  <c:v>-12</c:v>
                </c:pt>
                <c:pt idx="10">
                  <c:v>-15.9</c:v>
                </c:pt>
                <c:pt idx="11">
                  <c:v>-32.1</c:v>
                </c:pt>
                <c:pt idx="12">
                  <c:v>-29.6</c:v>
                </c:pt>
                <c:pt idx="13">
                  <c:v>-19.5</c:v>
                </c:pt>
                <c:pt idx="14">
                  <c:v>-24</c:v>
                </c:pt>
                <c:pt idx="15">
                  <c:v>-28.5</c:v>
                </c:pt>
                <c:pt idx="16">
                  <c:v>-25.9</c:v>
                </c:pt>
                <c:pt idx="17">
                  <c:v>-32.699999999999996</c:v>
                </c:pt>
                <c:pt idx="18">
                  <c:v>-30.599999999999994</c:v>
                </c:pt>
                <c:pt idx="19">
                  <c:v>-26.899999999999995</c:v>
                </c:pt>
                <c:pt idx="20">
                  <c:v>-31.999999999999993</c:v>
                </c:pt>
                <c:pt idx="21">
                  <c:v>-36.999999999999993</c:v>
                </c:pt>
                <c:pt idx="22">
                  <c:v>-31.399999999999991</c:v>
                </c:pt>
                <c:pt idx="23">
                  <c:v>-40.79999999999999</c:v>
                </c:pt>
                <c:pt idx="24">
                  <c:v>-40.099999999999987</c:v>
                </c:pt>
                <c:pt idx="25">
                  <c:v>-36.999999999999986</c:v>
                </c:pt>
                <c:pt idx="26">
                  <c:v>-43.199999999999989</c:v>
                </c:pt>
                <c:pt idx="27">
                  <c:v>-43.299999999999756</c:v>
                </c:pt>
                <c:pt idx="28">
                  <c:v>-35.699999999999754</c:v>
                </c:pt>
                <c:pt idx="29">
                  <c:v>-44.799999999999756</c:v>
                </c:pt>
                <c:pt idx="30">
                  <c:v>-50.099999999999753</c:v>
                </c:pt>
                <c:pt idx="31">
                  <c:v>#N/A</c:v>
                </c:pt>
                <c:pt idx="32">
                  <c:v>#N/A</c:v>
                </c:pt>
                <c:pt idx="33">
                  <c:v>-51.099999999999753</c:v>
                </c:pt>
                <c:pt idx="34">
                  <c:v>-53.699999999999754</c:v>
                </c:pt>
                <c:pt idx="35">
                  <c:v>-49.899999999999757</c:v>
                </c:pt>
                <c:pt idx="36">
                  <c:v>-51.999999999999758</c:v>
                </c:pt>
                <c:pt idx="37">
                  <c:v>#N/A</c:v>
                </c:pt>
                <c:pt idx="38">
                  <c:v>#N/A</c:v>
                </c:pt>
                <c:pt idx="39">
                  <c:v>-54.399999999999757</c:v>
                </c:pt>
                <c:pt idx="40">
                  <c:v>-53.09999999999976</c:v>
                </c:pt>
                <c:pt idx="41">
                  <c:v>-53.699999999999761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BF-4BD4-8548-C9C8BE4BA178}"/>
            </c:ext>
          </c:extLst>
        </c:ser>
        <c:ser>
          <c:idx val="11"/>
          <c:order val="11"/>
          <c:tx>
            <c:strRef>
              <c:f>【参考】測量データ!$B$18</c:f>
              <c:strCache>
                <c:ptCount val="1"/>
                <c:pt idx="0">
                  <c:v>12.中)南1条西14丁目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【参考】測量データ!$E$18:$AX$18</c:f>
              <c:numCache>
                <c:formatCode>0.0;[Red]\-0.0</c:formatCode>
                <c:ptCount val="46"/>
                <c:pt idx="0">
                  <c:v>-12.4</c:v>
                </c:pt>
                <c:pt idx="1">
                  <c:v>-9.5</c:v>
                </c:pt>
                <c:pt idx="2">
                  <c:v>-5.8</c:v>
                </c:pt>
                <c:pt idx="3">
                  <c:v>#N/A</c:v>
                </c:pt>
                <c:pt idx="4">
                  <c:v>-14.5</c:v>
                </c:pt>
                <c:pt idx="5">
                  <c:v>-13.8</c:v>
                </c:pt>
                <c:pt idx="6">
                  <c:v>-17.8</c:v>
                </c:pt>
                <c:pt idx="7">
                  <c:v>-13.700000000000001</c:v>
                </c:pt>
                <c:pt idx="8">
                  <c:v>-16.3</c:v>
                </c:pt>
                <c:pt idx="9">
                  <c:v>-17</c:v>
                </c:pt>
                <c:pt idx="10">
                  <c:v>-18.7</c:v>
                </c:pt>
                <c:pt idx="11">
                  <c:v>-28.2</c:v>
                </c:pt>
                <c:pt idx="12">
                  <c:v>-26.8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-23.7</c:v>
                </c:pt>
                <c:pt idx="17">
                  <c:v>#N/A</c:v>
                </c:pt>
                <c:pt idx="18">
                  <c:v>#N/A</c:v>
                </c:pt>
                <c:pt idx="19">
                  <c:v>-26.4</c:v>
                </c:pt>
                <c:pt idx="20">
                  <c:v>#N/A</c:v>
                </c:pt>
                <c:pt idx="21">
                  <c:v>#N/A</c:v>
                </c:pt>
                <c:pt idx="22">
                  <c:v>-27.799999999999997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-39.599999999999994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-42.399999999999991</c:v>
                </c:pt>
                <c:pt idx="35">
                  <c:v>-37.79999999999999</c:v>
                </c:pt>
                <c:pt idx="36">
                  <c:v>-40.199999999999989</c:v>
                </c:pt>
                <c:pt idx="37">
                  <c:v>#N/A</c:v>
                </c:pt>
                <c:pt idx="38">
                  <c:v>#N/A</c:v>
                </c:pt>
                <c:pt idx="39">
                  <c:v>-40.79999999999999</c:v>
                </c:pt>
                <c:pt idx="40">
                  <c:v>-39.699999999999989</c:v>
                </c:pt>
                <c:pt idx="41">
                  <c:v>-40.79999999999999</c:v>
                </c:pt>
                <c:pt idx="42">
                  <c:v>-39.899999999999991</c:v>
                </c:pt>
                <c:pt idx="43">
                  <c:v>#N/A</c:v>
                </c:pt>
                <c:pt idx="44">
                  <c:v>-39.799999999996672</c:v>
                </c:pt>
                <c:pt idx="45">
                  <c:v>-41.299999999996729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BF-4BD4-8548-C9C8BE4BA178}"/>
            </c:ext>
          </c:extLst>
        </c:ser>
        <c:ser>
          <c:idx val="12"/>
          <c:order val="12"/>
          <c:tx>
            <c:strRef>
              <c:f>【参考】測量データ!$B$19</c:f>
              <c:strCache>
                <c:ptCount val="1"/>
                <c:pt idx="0">
                  <c:v>13.中)南8条西2丁目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【参考】測量データ!$E$19:$AX$19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-6.1</c:v>
                </c:pt>
                <c:pt idx="5">
                  <c:v>-9.3000000000000007</c:v>
                </c:pt>
                <c:pt idx="6">
                  <c:v>-9.7000000000000011</c:v>
                </c:pt>
                <c:pt idx="7">
                  <c:v>#N/A</c:v>
                </c:pt>
                <c:pt idx="8">
                  <c:v>-10.9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-25.4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</c:v>
                </c:pt>
                <c:pt idx="17">
                  <c:v>#N/A</c:v>
                </c:pt>
                <c:pt idx="18">
                  <c:v>#N/A</c:v>
                </c:pt>
                <c:pt idx="19">
                  <c:v>-28.6</c:v>
                </c:pt>
                <c:pt idx="20">
                  <c:v>#N/A</c:v>
                </c:pt>
                <c:pt idx="21">
                  <c:v>#N/A</c:v>
                </c:pt>
                <c:pt idx="22">
                  <c:v>-29.400000000000002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-50.1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-51.7</c:v>
                </c:pt>
                <c:pt idx="35">
                  <c:v>-48</c:v>
                </c:pt>
                <c:pt idx="36">
                  <c:v>-49.4</c:v>
                </c:pt>
                <c:pt idx="37">
                  <c:v>#N/A</c:v>
                </c:pt>
                <c:pt idx="38">
                  <c:v>#N/A</c:v>
                </c:pt>
                <c:pt idx="39">
                  <c:v>-51.5</c:v>
                </c:pt>
                <c:pt idx="40">
                  <c:v>#N/A</c:v>
                </c:pt>
                <c:pt idx="41">
                  <c:v>-50</c:v>
                </c:pt>
                <c:pt idx="42">
                  <c:v>-51.6</c:v>
                </c:pt>
                <c:pt idx="43">
                  <c:v>#N/A</c:v>
                </c:pt>
                <c:pt idx="44">
                  <c:v>-50.299999999999478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BF-4BD4-8548-C9C8BE4BA178}"/>
            </c:ext>
          </c:extLst>
        </c:ser>
        <c:ser>
          <c:idx val="13"/>
          <c:order val="13"/>
          <c:tx>
            <c:strRef>
              <c:f>【参考】測量データ!$B$20</c:f>
              <c:strCache>
                <c:ptCount val="1"/>
                <c:pt idx="0">
                  <c:v>14.中)北2条西25丁目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【参考】測量データ!$E$20:$AX$20</c:f>
              <c:numCache>
                <c:formatCode>0.0;[Red]\-0.0</c:formatCode>
                <c:ptCount val="46"/>
                <c:pt idx="0">
                  <c:v>-26.1</c:v>
                </c:pt>
                <c:pt idx="1">
                  <c:v>-21.900000000000002</c:v>
                </c:pt>
                <c:pt idx="2">
                  <c:v>-15.300000000000002</c:v>
                </c:pt>
                <c:pt idx="3">
                  <c:v>#N/A</c:v>
                </c:pt>
                <c:pt idx="4">
                  <c:v>-31</c:v>
                </c:pt>
                <c:pt idx="5">
                  <c:v>-32</c:v>
                </c:pt>
                <c:pt idx="6">
                  <c:v>-32.799999999999997</c:v>
                </c:pt>
                <c:pt idx="7">
                  <c:v>-31.799999999999997</c:v>
                </c:pt>
                <c:pt idx="8">
                  <c:v>-33.699999999999996</c:v>
                </c:pt>
                <c:pt idx="9">
                  <c:v>-34.799999999999997</c:v>
                </c:pt>
                <c:pt idx="10">
                  <c:v>-37.5</c:v>
                </c:pt>
                <c:pt idx="11">
                  <c:v>-48.8</c:v>
                </c:pt>
                <c:pt idx="12">
                  <c:v>-48.4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-50.3</c:v>
                </c:pt>
                <c:pt idx="17">
                  <c:v>#N/A</c:v>
                </c:pt>
                <c:pt idx="18">
                  <c:v>#N/A</c:v>
                </c:pt>
                <c:pt idx="19">
                  <c:v>-53.699999999999996</c:v>
                </c:pt>
                <c:pt idx="20">
                  <c:v>#N/A</c:v>
                </c:pt>
                <c:pt idx="21">
                  <c:v>#N/A</c:v>
                </c:pt>
                <c:pt idx="22">
                  <c:v>-57.4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-71.5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-67.599999999999994</c:v>
                </c:pt>
                <c:pt idx="36">
                  <c:v>-68.5</c:v>
                </c:pt>
                <c:pt idx="37">
                  <c:v>#N/A</c:v>
                </c:pt>
                <c:pt idx="38">
                  <c:v>#N/A</c:v>
                </c:pt>
                <c:pt idx="39">
                  <c:v>-72</c:v>
                </c:pt>
                <c:pt idx="40">
                  <c:v>-71.7</c:v>
                </c:pt>
                <c:pt idx="41">
                  <c:v>-74</c:v>
                </c:pt>
                <c:pt idx="42">
                  <c:v>-74.099999999999994</c:v>
                </c:pt>
                <c:pt idx="43">
                  <c:v>#N/A</c:v>
                </c:pt>
                <c:pt idx="44">
                  <c:v>-75.200000000000983</c:v>
                </c:pt>
                <c:pt idx="45">
                  <c:v>-78.400000000000631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BF-4BD4-8548-C9C8BE4BA178}"/>
            </c:ext>
          </c:extLst>
        </c:ser>
        <c:ser>
          <c:idx val="14"/>
          <c:order val="14"/>
          <c:tx>
            <c:strRef>
              <c:f>【参考】測量データ!$B$21</c:f>
              <c:strCache>
                <c:ptCount val="1"/>
                <c:pt idx="0">
                  <c:v>15.西)山の手2条1丁目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【参考】測量データ!$E$21:$AX$21</c:f>
              <c:numCache>
                <c:formatCode>0.0;[Red]\-0.0</c:formatCode>
                <c:ptCount val="46"/>
                <c:pt idx="0">
                  <c:v>-26.4</c:v>
                </c:pt>
                <c:pt idx="1">
                  <c:v>-21.799999999999997</c:v>
                </c:pt>
                <c:pt idx="2">
                  <c:v>-17.699999999999996</c:v>
                </c:pt>
                <c:pt idx="3">
                  <c:v>#N/A</c:v>
                </c:pt>
                <c:pt idx="4">
                  <c:v>-25.199999999999996</c:v>
                </c:pt>
                <c:pt idx="5">
                  <c:v>-24.999999999999996</c:v>
                </c:pt>
                <c:pt idx="6">
                  <c:v>-27.499999999999996</c:v>
                </c:pt>
                <c:pt idx="7">
                  <c:v>-23.099999999999994</c:v>
                </c:pt>
                <c:pt idx="8">
                  <c:v>-26.299999999999994</c:v>
                </c:pt>
                <c:pt idx="9">
                  <c:v>-24.699999999999992</c:v>
                </c:pt>
                <c:pt idx="10">
                  <c:v>-26.499999999999993</c:v>
                </c:pt>
                <c:pt idx="11">
                  <c:v>-32.199999999999996</c:v>
                </c:pt>
                <c:pt idx="12">
                  <c:v>-31.299999999999997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-33.5</c:v>
                </c:pt>
                <c:pt idx="17">
                  <c:v>#N/A</c:v>
                </c:pt>
                <c:pt idx="18">
                  <c:v>#N/A</c:v>
                </c:pt>
                <c:pt idx="19">
                  <c:v>-36.5</c:v>
                </c:pt>
                <c:pt idx="20">
                  <c:v>#N/A</c:v>
                </c:pt>
                <c:pt idx="21">
                  <c:v>#N/A</c:v>
                </c:pt>
                <c:pt idx="22">
                  <c:v>-38.4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-41.699999999999996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-45.699999999999996</c:v>
                </c:pt>
                <c:pt idx="35">
                  <c:v>-42.4</c:v>
                </c:pt>
                <c:pt idx="36">
                  <c:v>-41.4</c:v>
                </c:pt>
                <c:pt idx="37">
                  <c:v>-39.199999999999996</c:v>
                </c:pt>
                <c:pt idx="38">
                  <c:v>-42.499999999999993</c:v>
                </c:pt>
                <c:pt idx="39">
                  <c:v>-42.399999999999991</c:v>
                </c:pt>
                <c:pt idx="40">
                  <c:v>-41.399999999999991</c:v>
                </c:pt>
                <c:pt idx="41">
                  <c:v>-41.599999999999994</c:v>
                </c:pt>
                <c:pt idx="42">
                  <c:v>-40.799999999999997</c:v>
                </c:pt>
                <c:pt idx="43">
                  <c:v>#N/A</c:v>
                </c:pt>
                <c:pt idx="44">
                  <c:v>-40.600000000000463</c:v>
                </c:pt>
                <c:pt idx="45">
                  <c:v>-42.000000000000753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BF-4BD4-8548-C9C8BE4BA178}"/>
            </c:ext>
          </c:extLst>
        </c:ser>
        <c:ser>
          <c:idx val="15"/>
          <c:order val="15"/>
          <c:tx>
            <c:strRef>
              <c:f>【参考】測量データ!$B$23</c:f>
              <c:strCache>
                <c:ptCount val="1"/>
                <c:pt idx="0">
                  <c:v>16.白)本通1丁目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【参考】測量データ!$E$23:$AX$23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5</c:v>
                </c:pt>
                <c:pt idx="3">
                  <c:v>10.199999999999999</c:v>
                </c:pt>
                <c:pt idx="4">
                  <c:v>-4.5</c:v>
                </c:pt>
                <c:pt idx="5">
                  <c:v>-7.9</c:v>
                </c:pt>
                <c:pt idx="6">
                  <c:v>-10.9</c:v>
                </c:pt>
                <c:pt idx="7">
                  <c:v>-8.1000000000000014</c:v>
                </c:pt>
                <c:pt idx="8">
                  <c:v>-8.9000000000000021</c:v>
                </c:pt>
                <c:pt idx="9">
                  <c:v>-11.100000000000001</c:v>
                </c:pt>
                <c:pt idx="10">
                  <c:v>-7.6000000000000014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-25.400000000000002</c:v>
                </c:pt>
                <c:pt idx="17">
                  <c:v>#N/A</c:v>
                </c:pt>
                <c:pt idx="18">
                  <c:v>#N/A</c:v>
                </c:pt>
                <c:pt idx="19">
                  <c:v>-26.500000000000004</c:v>
                </c:pt>
                <c:pt idx="20">
                  <c:v>#N/A</c:v>
                </c:pt>
                <c:pt idx="21">
                  <c:v>#N/A</c:v>
                </c:pt>
                <c:pt idx="22">
                  <c:v>-28.300000000000004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-35.800000000000004</c:v>
                </c:pt>
                <c:pt idx="29">
                  <c:v>#N/A</c:v>
                </c:pt>
                <c:pt idx="30">
                  <c:v>-50.2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-47.1</c:v>
                </c:pt>
                <c:pt idx="35">
                  <c:v>-47</c:v>
                </c:pt>
                <c:pt idx="36">
                  <c:v>-49.2</c:v>
                </c:pt>
                <c:pt idx="37">
                  <c:v>#N/A</c:v>
                </c:pt>
                <c:pt idx="38">
                  <c:v>#N/A</c:v>
                </c:pt>
                <c:pt idx="39">
                  <c:v>-50.5</c:v>
                </c:pt>
                <c:pt idx="40">
                  <c:v>#N/A</c:v>
                </c:pt>
                <c:pt idx="41">
                  <c:v>-48.4</c:v>
                </c:pt>
                <c:pt idx="42">
                  <c:v>#N/A</c:v>
                </c:pt>
                <c:pt idx="43">
                  <c:v>#N/A</c:v>
                </c:pt>
                <c:pt idx="44">
                  <c:v>-47.699999999998077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BF-4BD4-8548-C9C8BE4BA178}"/>
            </c:ext>
          </c:extLst>
        </c:ser>
        <c:ser>
          <c:idx val="16"/>
          <c:order val="16"/>
          <c:tx>
            <c:strRef>
              <c:f>【参考】測量データ!$B$24</c:f>
              <c:strCache>
                <c:ptCount val="1"/>
                <c:pt idx="0">
                  <c:v>17.白)本通14丁目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【参考】測量データ!$E$24:$AX$24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8.6999999999999993</c:v>
                </c:pt>
                <c:pt idx="4">
                  <c:v>-5.6000000000000014</c:v>
                </c:pt>
                <c:pt idx="5">
                  <c:v>-10.000000000000002</c:v>
                </c:pt>
                <c:pt idx="6">
                  <c:v>-17.100000000000001</c:v>
                </c:pt>
                <c:pt idx="7">
                  <c:v>#N/A</c:v>
                </c:pt>
                <c:pt idx="8">
                  <c:v>-14.8</c:v>
                </c:pt>
                <c:pt idx="9">
                  <c:v>#N/A</c:v>
                </c:pt>
                <c:pt idx="10">
                  <c:v>-12.3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-33.299999999999997</c:v>
                </c:pt>
                <c:pt idx="17">
                  <c:v>#N/A</c:v>
                </c:pt>
                <c:pt idx="18">
                  <c:v>#N/A</c:v>
                </c:pt>
                <c:pt idx="19">
                  <c:v>-33.9</c:v>
                </c:pt>
                <c:pt idx="20">
                  <c:v>#N/A</c:v>
                </c:pt>
                <c:pt idx="21">
                  <c:v>#N/A</c:v>
                </c:pt>
                <c:pt idx="22">
                  <c:v>-35.9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-60.099999999999994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-57.099999999999994</c:v>
                </c:pt>
                <c:pt idx="36">
                  <c:v>-58.3</c:v>
                </c:pt>
                <c:pt idx="37">
                  <c:v>#N/A</c:v>
                </c:pt>
                <c:pt idx="38">
                  <c:v>#N/A</c:v>
                </c:pt>
                <c:pt idx="39">
                  <c:v>-60.5</c:v>
                </c:pt>
                <c:pt idx="40">
                  <c:v>#N/A</c:v>
                </c:pt>
                <c:pt idx="41">
                  <c:v>-58.2</c:v>
                </c:pt>
                <c:pt idx="42">
                  <c:v>#N/A</c:v>
                </c:pt>
                <c:pt idx="43">
                  <c:v>#N/A</c:v>
                </c:pt>
                <c:pt idx="44">
                  <c:v>-58.699999999998838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BF-4BD4-8548-C9C8BE4BA178}"/>
            </c:ext>
          </c:extLst>
        </c:ser>
        <c:ser>
          <c:idx val="17"/>
          <c:order val="17"/>
          <c:tx>
            <c:strRef>
              <c:f>【参考】測量データ!$B$25</c:f>
              <c:strCache>
                <c:ptCount val="1"/>
                <c:pt idx="0">
                  <c:v>18.豊)西岡2条9丁目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【参考】測量データ!$E$25:$AX$25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-0.5</c:v>
                </c:pt>
                <c:pt idx="7">
                  <c:v>#N/A</c:v>
                </c:pt>
                <c:pt idx="8">
                  <c:v>-7.4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-9.6999999999999993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-7.7999999999999989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-21.4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-19.599999999999998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-21.999999999999996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BF-4BD4-8548-C9C8BE4BA178}"/>
            </c:ext>
          </c:extLst>
        </c:ser>
        <c:ser>
          <c:idx val="18"/>
          <c:order val="18"/>
          <c:tx>
            <c:strRef>
              <c:f>【参考】測量データ!$B$26</c:f>
              <c:strCache>
                <c:ptCount val="1"/>
                <c:pt idx="0">
                  <c:v>19.厚)厚別南6丁目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【参考】測量データ!$E$26:$AX$26</c:f>
              <c:numCache>
                <c:formatCode>0.0;[Red]\-0.0</c:formatCode>
                <c:ptCount val="46"/>
                <c:pt idx="0">
                  <c:v>#N/A</c:v>
                </c:pt>
                <c:pt idx="1">
                  <c:v>0</c:v>
                </c:pt>
                <c:pt idx="2">
                  <c:v>2.6</c:v>
                </c:pt>
                <c:pt idx="3">
                  <c:v>5.9</c:v>
                </c:pt>
                <c:pt idx="4">
                  <c:v>-5.7999999999999989</c:v>
                </c:pt>
                <c:pt idx="5">
                  <c:v>-10.799999999999999</c:v>
                </c:pt>
                <c:pt idx="6">
                  <c:v>-23.7</c:v>
                </c:pt>
                <c:pt idx="7">
                  <c:v>#N/A</c:v>
                </c:pt>
                <c:pt idx="8">
                  <c:v>-28.4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-50.099999999999994</c:v>
                </c:pt>
                <c:pt idx="17">
                  <c:v>#N/A</c:v>
                </c:pt>
                <c:pt idx="18">
                  <c:v>#N/A</c:v>
                </c:pt>
                <c:pt idx="19">
                  <c:v>-59.999999999999993</c:v>
                </c:pt>
                <c:pt idx="20">
                  <c:v>#N/A</c:v>
                </c:pt>
                <c:pt idx="21">
                  <c:v>#N/A</c:v>
                </c:pt>
                <c:pt idx="22">
                  <c:v>-67.399999999999991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-97.299999999999983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-100.49999999999999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-109.39999999999999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BF-4BD4-8548-C9C8BE4BA178}"/>
            </c:ext>
          </c:extLst>
        </c:ser>
        <c:ser>
          <c:idx val="19"/>
          <c:order val="19"/>
          <c:tx>
            <c:strRef>
              <c:f>【参考】測量データ!$B$27</c:f>
              <c:strCache>
                <c:ptCount val="1"/>
                <c:pt idx="0">
                  <c:v>20.厚)厚別中央4条3丁目</c:v>
                </c:pt>
              </c:strCache>
            </c:strRef>
          </c:tx>
          <c:spPr>
            <a:ln w="12700">
              <a:solidFill>
                <a:srgbClr val="800000"/>
              </a:solidFill>
              <a:prstDash val="lgDashDotDot"/>
            </a:ln>
          </c:spPr>
          <c:marker>
            <c:symbol val="none"/>
          </c:marker>
          <c:cat>
            <c:strRef>
              <c:f>【参考】測量データ!$E$2:$AX$2</c:f>
              <c:strCache>
                <c:ptCount val="45"/>
                <c:pt idx="0">
                  <c:v>S49</c:v>
                </c:pt>
                <c:pt idx="6">
                  <c:v>55</c:v>
                </c:pt>
                <c:pt idx="11">
                  <c:v>60</c:v>
                </c:pt>
                <c:pt idx="15">
                  <c:v>H1</c:v>
                </c:pt>
                <c:pt idx="19">
                  <c:v>5</c:v>
                </c:pt>
                <c:pt idx="24">
                  <c:v>10</c:v>
                </c:pt>
                <c:pt idx="29">
                  <c:v>15</c:v>
                </c:pt>
                <c:pt idx="34">
                  <c:v>20</c:v>
                </c:pt>
                <c:pt idx="39">
                  <c:v>25</c:v>
                </c:pt>
                <c:pt idx="44">
                  <c:v>30</c:v>
                </c:pt>
              </c:strCache>
            </c:strRef>
          </c:cat>
          <c:val>
            <c:numRef>
              <c:f>【参考】測量データ!$E$27:$AX$27</c:f>
              <c:numCache>
                <c:formatCode>0.0;[Red]\-0.0</c:formatCode>
                <c:ptCount val="46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5.4</c:v>
                </c:pt>
                <c:pt idx="4">
                  <c:v>-9.6999999999999993</c:v>
                </c:pt>
                <c:pt idx="5">
                  <c:v>-11.6</c:v>
                </c:pt>
                <c:pt idx="6">
                  <c:v>-27.1</c:v>
                </c:pt>
                <c:pt idx="7">
                  <c:v>-23.900000000000002</c:v>
                </c:pt>
                <c:pt idx="8">
                  <c:v>-23.700000000000003</c:v>
                </c:pt>
                <c:pt idx="9">
                  <c:v>#N/A</c:v>
                </c:pt>
                <c:pt idx="10">
                  <c:v>-23.200000000000003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-48.2</c:v>
                </c:pt>
                <c:pt idx="17">
                  <c:v>#N/A</c:v>
                </c:pt>
                <c:pt idx="18">
                  <c:v>#N/A</c:v>
                </c:pt>
                <c:pt idx="19">
                  <c:v>-61</c:v>
                </c:pt>
                <c:pt idx="20">
                  <c:v>#N/A</c:v>
                </c:pt>
                <c:pt idx="21">
                  <c:v>#N/A</c:v>
                </c:pt>
                <c:pt idx="22">
                  <c:v>-67.900000000000006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-92.9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-94.2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-97.9</c:v>
                </c:pt>
                <c:pt idx="40">
                  <c:v>#N/A</c:v>
                </c:pt>
                <c:pt idx="41">
                  <c:v>-96.600000000000009</c:v>
                </c:pt>
                <c:pt idx="42">
                  <c:v>#N/A</c:v>
                </c:pt>
                <c:pt idx="43">
                  <c:v>#N/A</c:v>
                </c:pt>
                <c:pt idx="44">
                  <c:v>-98.5999999999989</c:v>
                </c:pt>
                <c:pt idx="4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BF-4BD4-8548-C9C8BE4B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157312"/>
        <c:axId val="144167296"/>
      </c:lineChart>
      <c:catAx>
        <c:axId val="1441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4167296"/>
        <c:crossesAt val="-700"/>
        <c:auto val="1"/>
        <c:lblAlgn val="ctr"/>
        <c:lblOffset val="100"/>
        <c:tickLblSkip val="1"/>
        <c:tickMarkSkip val="1"/>
        <c:noMultiLvlLbl val="0"/>
      </c:catAx>
      <c:valAx>
        <c:axId val="144167296"/>
        <c:scaling>
          <c:orientation val="minMax"/>
          <c:max val="100"/>
          <c:min val="-7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累積沈下量 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[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mm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]</a:t>
                </a:r>
                <a:endParaRPr lang="ja-JP" altLang="en-US" sz="1400"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9.4552396648986368E-3"/>
              <c:y val="0.33887767585629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4157312"/>
        <c:crosses val="autoZero"/>
        <c:crossBetween val="between"/>
        <c:majorUnit val="1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9354654620192708E-2"/>
          <c:y val="0.85952842219591663"/>
          <c:w val="0.88888404496436035"/>
          <c:h val="0.13982814273336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56029</xdr:colOff>
      <xdr:row>0</xdr:row>
      <xdr:rowOff>78441</xdr:rowOff>
    </xdr:from>
    <xdr:to>
      <xdr:col>26</xdr:col>
      <xdr:colOff>649941</xdr:colOff>
      <xdr:row>0</xdr:row>
      <xdr:rowOff>268941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051676" y="78441"/>
          <a:ext cx="4964206" cy="190500"/>
        </a:xfrm>
        <a:prstGeom prst="rect">
          <a:avLst/>
        </a:prstGeom>
        <a:solidFill>
          <a:srgbClr val="FFFF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1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　力　セ　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29</xdr:row>
      <xdr:rowOff>9525</xdr:rowOff>
    </xdr:from>
    <xdr:to>
      <xdr:col>9</xdr:col>
      <xdr:colOff>590550</xdr:colOff>
      <xdr:row>53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4</xdr:col>
      <xdr:colOff>561975</xdr:colOff>
      <xdr:row>53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36</xdr:row>
      <xdr:rowOff>104775</xdr:rowOff>
    </xdr:from>
    <xdr:to>
      <xdr:col>9</xdr:col>
      <xdr:colOff>419100</xdr:colOff>
      <xdr:row>47</xdr:row>
      <xdr:rowOff>104775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676275</xdr:colOff>
      <xdr:row>1</xdr:row>
      <xdr:rowOff>19050</xdr:rowOff>
    </xdr:from>
    <xdr:to>
      <xdr:col>9</xdr:col>
      <xdr:colOff>581025</xdr:colOff>
      <xdr:row>26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</xdr:row>
      <xdr:rowOff>19050</xdr:rowOff>
    </xdr:from>
    <xdr:to>
      <xdr:col>4</xdr:col>
      <xdr:colOff>571500</xdr:colOff>
      <xdr:row>26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35</xdr:row>
      <xdr:rowOff>161925</xdr:rowOff>
    </xdr:from>
    <xdr:to>
      <xdr:col>4</xdr:col>
      <xdr:colOff>485775</xdr:colOff>
      <xdr:row>47</xdr:row>
      <xdr:rowOff>104775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190500</xdr:colOff>
      <xdr:row>43</xdr:row>
      <xdr:rowOff>161925</xdr:rowOff>
    </xdr:from>
    <xdr:to>
      <xdr:col>8</xdr:col>
      <xdr:colOff>238125</xdr:colOff>
      <xdr:row>45</xdr:row>
      <xdr:rowOff>123825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991100" y="7600950"/>
          <a:ext cx="7334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詳細図</a:t>
          </a:r>
          <a:endParaRPr lang="ja-JP" altLang="en-US"/>
        </a:p>
      </xdr:txBody>
    </xdr:sp>
    <xdr:clientData/>
  </xdr:twoCellAnchor>
  <xdr:twoCellAnchor>
    <xdr:from>
      <xdr:col>2</xdr:col>
      <xdr:colOff>285750</xdr:colOff>
      <xdr:row>44</xdr:row>
      <xdr:rowOff>0</xdr:rowOff>
    </xdr:from>
    <xdr:to>
      <xdr:col>3</xdr:col>
      <xdr:colOff>333375</xdr:colOff>
      <xdr:row>45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57350" y="7610475"/>
          <a:ext cx="7334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詳細図</a:t>
          </a:r>
          <a:endParaRPr lang="ja-JP" altLang="en-US"/>
        </a:p>
      </xdr:txBody>
    </xdr:sp>
    <xdr:clientData/>
  </xdr:twoCellAnchor>
  <xdr:twoCellAnchor>
    <xdr:from>
      <xdr:col>4</xdr:col>
      <xdr:colOff>638175</xdr:colOff>
      <xdr:row>29</xdr:row>
      <xdr:rowOff>9525</xdr:rowOff>
    </xdr:from>
    <xdr:to>
      <xdr:col>9</xdr:col>
      <xdr:colOff>590550</xdr:colOff>
      <xdr:row>53</xdr:row>
      <xdr:rowOff>123825</xdr:rowOff>
    </xdr:to>
    <xdr:graphicFrame macro="">
      <xdr:nvGraphicFramePr>
        <xdr:cNvPr id="10" name="グラフ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29</xdr:row>
      <xdr:rowOff>0</xdr:rowOff>
    </xdr:from>
    <xdr:to>
      <xdr:col>4</xdr:col>
      <xdr:colOff>561975</xdr:colOff>
      <xdr:row>53</xdr:row>
      <xdr:rowOff>142875</xdr:rowOff>
    </xdr:to>
    <xdr:graphicFrame macro="">
      <xdr:nvGraphicFramePr>
        <xdr:cNvPr id="11" name="グラフ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346564</xdr:colOff>
      <xdr:row>37</xdr:row>
      <xdr:rowOff>2198</xdr:rowOff>
    </xdr:from>
    <xdr:to>
      <xdr:col>9</xdr:col>
      <xdr:colOff>470389</xdr:colOff>
      <xdr:row>48</xdr:row>
      <xdr:rowOff>2199</xdr:rowOff>
    </xdr:to>
    <xdr:graphicFrame macro="">
      <xdr:nvGraphicFramePr>
        <xdr:cNvPr id="12" name="グラフ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600808</xdr:colOff>
      <xdr:row>1</xdr:row>
      <xdr:rowOff>19050</xdr:rowOff>
    </xdr:from>
    <xdr:to>
      <xdr:col>9</xdr:col>
      <xdr:colOff>581025</xdr:colOff>
      <xdr:row>26</xdr:row>
      <xdr:rowOff>104775</xdr:rowOff>
    </xdr:to>
    <xdr:graphicFrame macro="">
      <xdr:nvGraphicFramePr>
        <xdr:cNvPr id="13" name="グラフ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</xdr:row>
      <xdr:rowOff>19049</xdr:rowOff>
    </xdr:from>
    <xdr:to>
      <xdr:col>4</xdr:col>
      <xdr:colOff>571500</xdr:colOff>
      <xdr:row>26</xdr:row>
      <xdr:rowOff>131884</xdr:rowOff>
    </xdr:to>
    <xdr:graphicFrame macro="">
      <xdr:nvGraphicFramePr>
        <xdr:cNvPr id="14" name="グラフ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318721</xdr:colOff>
      <xdr:row>36</xdr:row>
      <xdr:rowOff>74003</xdr:rowOff>
    </xdr:from>
    <xdr:to>
      <xdr:col>4</xdr:col>
      <xdr:colOff>471121</xdr:colOff>
      <xdr:row>48</xdr:row>
      <xdr:rowOff>16853</xdr:rowOff>
    </xdr:to>
    <xdr:graphicFrame macro="">
      <xdr:nvGraphicFramePr>
        <xdr:cNvPr id="15" name="グラフ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249118</xdr:colOff>
      <xdr:row>38</xdr:row>
      <xdr:rowOff>66676</xdr:rowOff>
    </xdr:from>
    <xdr:to>
      <xdr:col>9</xdr:col>
      <xdr:colOff>296743</xdr:colOff>
      <xdr:row>40</xdr:row>
      <xdr:rowOff>28577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758964" y="6551003"/>
          <a:ext cx="736356" cy="2989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詳細図</a:t>
          </a:r>
          <a:endParaRPr lang="ja-JP" altLang="en-US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256443</xdr:colOff>
      <xdr:row>38</xdr:row>
      <xdr:rowOff>73269</xdr:rowOff>
    </xdr:from>
    <xdr:to>
      <xdr:col>4</xdr:col>
      <xdr:colOff>304067</xdr:colOff>
      <xdr:row>40</xdr:row>
      <xdr:rowOff>38101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322635" y="6557596"/>
          <a:ext cx="736355" cy="30187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詳細図</a:t>
          </a:r>
          <a:endParaRPr lang="ja-JP" altLang="en-US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0.51092</cdr:x>
      <cdr:y>0.44965</cdr:y>
    </cdr:from>
    <cdr:to>
      <cdr:x>0.53375</cdr:x>
      <cdr:y>0.47189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005" y="1921920"/>
          <a:ext cx="75209" cy="94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0.51092</cdr:x>
      <cdr:y>0.44965</cdr:y>
    </cdr:from>
    <cdr:to>
      <cdr:x>0.53375</cdr:x>
      <cdr:y>0.47189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005" y="1921920"/>
          <a:ext cx="75209" cy="94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1</xdr:row>
      <xdr:rowOff>33619</xdr:rowOff>
    </xdr:from>
    <xdr:to>
      <xdr:col>12</xdr:col>
      <xdr:colOff>829235</xdr:colOff>
      <xdr:row>40</xdr:row>
      <xdr:rowOff>33618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784412</xdr:colOff>
      <xdr:row>11</xdr:row>
      <xdr:rowOff>22412</xdr:rowOff>
    </xdr:from>
    <xdr:to>
      <xdr:col>19</xdr:col>
      <xdr:colOff>661147</xdr:colOff>
      <xdr:row>27</xdr:row>
      <xdr:rowOff>78441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12214412" y="1983441"/>
          <a:ext cx="3910853" cy="2745441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メモ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このグラフは、特にどこでも活用されていないので、令和</a:t>
          </a:r>
          <a:r>
            <a:rPr kumimoji="1" lang="en-US" altLang="ja-JP" sz="1100"/>
            <a:t>2</a:t>
          </a:r>
          <a:r>
            <a:rPr kumimoji="1" lang="ja-JP" altLang="en-US" sz="1100"/>
            <a:t>年度のデータ以降更新しません。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s-01\&#29872;&#22659;&#24773;&#22577;\&#23550;&#31574;&#35506;\&#27700;&#36074;&#20418;\&#22320;&#30436;&#27784;&#19979;&#12539;&#22320;&#19979;&#27700;&#20301;&#12539;&#25562;&#27700;&#37327;&#35519;&#26619;\&#25562;&#27700;&#37327;&#35519;&#26619;\09(H20)data\&#24179;&#25104;19,20&#24180;&#24230;&#25562;&#27700;&#35519;&#26619;&#2225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s-01\&#29872;&#22659;&#24773;&#22577;\&#23550;&#31574;&#35506;\&#23550;&#31574;&#35506;&#20849;&#36890;\&#9734;&#30333;&#26360;&#12539;&#32113;&#35336;&#65288;&#20849;&#36890;&#65289;\&#9734;&#26413;&#24140;&#24066;&#12398;&#29872;&#22659;&#65288;&#12487;&#12540;&#12479;&#38598;&#65289;\&#24179;&#25104;20&#24180;&#24230;&#20998;\&#20462;&#27491;&#29992;\&#8548;&#22320;&#30436;&#27784;&#19979;\&#9679;&#8548;&#12288;2006&#27700;&#20301;H18(p15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S-01\&#29872;&#22659;&#24773;&#22577;\&#25562;&#27700;&#35519;&#26619;\99data\99&#25562;&#27700;&#3551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s-01\&#29872;&#22659;&#24773;&#22577;\&#27700;&#36074;&#20418;\&#29872;&#22659;&#30333;&#26360;&#12539;&#24066;&#25919;&#27010;&#35201;&#31561;\H16(15)\&#27700;&#36074;&#20351;&#29992;&#12487;&#12540;&#12479;\H16&#65288;15&#20998;&#65289;&#27700;&#36074;&#22259;&#34920;&#22522;&#28310;&#315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nkyo-s-01\&#29872;&#22659;&#24773;&#22577;&#65298;\Documents%20and%20Settings\sa00745\Local%20Settings\Temporary%20Internet%20Files\OLK9D\H18(H17)&#27700;&#36074;&#30333;&#26360;&#29992;&#12487;&#12540;&#12479;&#65288;&#2225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1用途別揚水量(全市分)"/>
      <sheetName val="図2,3区別揚水量"/>
      <sheetName val="図4,5事業場別揚水量"/>
      <sheetName val="表4 工事による揚水量"/>
      <sheetName val="図7 削減目標達成状況"/>
      <sheetName val="HP用"/>
    </sheetNames>
    <sheetDataSet>
      <sheetData sheetId="0">
        <row r="5">
          <cell r="C5">
            <v>32211</v>
          </cell>
          <cell r="D5">
            <v>30774</v>
          </cell>
          <cell r="E5">
            <v>30867</v>
          </cell>
          <cell r="F5">
            <v>31452</v>
          </cell>
          <cell r="G5">
            <v>31543</v>
          </cell>
          <cell r="H5">
            <v>28781</v>
          </cell>
        </row>
        <row r="6">
          <cell r="C6">
            <v>79659</v>
          </cell>
          <cell r="D6">
            <v>72029</v>
          </cell>
          <cell r="E6">
            <v>70497</v>
          </cell>
          <cell r="F6">
            <v>73419</v>
          </cell>
          <cell r="G6">
            <v>73026</v>
          </cell>
          <cell r="H6">
            <v>77043</v>
          </cell>
        </row>
        <row r="7">
          <cell r="C7">
            <v>2081</v>
          </cell>
          <cell r="D7">
            <v>1786</v>
          </cell>
          <cell r="E7">
            <v>1396</v>
          </cell>
          <cell r="F7">
            <v>1528</v>
          </cell>
          <cell r="G7">
            <v>1337</v>
          </cell>
          <cell r="H7">
            <v>1251</v>
          </cell>
        </row>
        <row r="8">
          <cell r="C8">
            <v>2070</v>
          </cell>
          <cell r="D8">
            <v>2668</v>
          </cell>
          <cell r="E8">
            <v>2443</v>
          </cell>
          <cell r="F8">
            <v>2547</v>
          </cell>
          <cell r="G8">
            <v>2622</v>
          </cell>
          <cell r="H8">
            <v>2570</v>
          </cell>
        </row>
        <row r="9">
          <cell r="C9">
            <v>6783</v>
          </cell>
          <cell r="D9">
            <v>16325</v>
          </cell>
          <cell r="E9">
            <v>15998</v>
          </cell>
          <cell r="F9">
            <v>14163</v>
          </cell>
          <cell r="G9">
            <v>18593</v>
          </cell>
          <cell r="H9">
            <v>4931</v>
          </cell>
        </row>
        <row r="10">
          <cell r="C10">
            <v>1630</v>
          </cell>
          <cell r="D10">
            <v>1475</v>
          </cell>
          <cell r="E10">
            <v>1413</v>
          </cell>
          <cell r="F10">
            <v>1440</v>
          </cell>
          <cell r="G10">
            <v>936</v>
          </cell>
          <cell r="H10">
            <v>833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八軒"/>
      <sheetName val="丘珠"/>
      <sheetName val="川北"/>
      <sheetName val="本庁"/>
      <sheetName val="GURAFU"/>
    </sheetNames>
    <sheetDataSet>
      <sheetData sheetId="0">
        <row r="7">
          <cell r="C7">
            <v>0</v>
          </cell>
          <cell r="D7">
            <v>0</v>
          </cell>
          <cell r="K7">
            <v>6.8</v>
          </cell>
          <cell r="L7">
            <v>3.22</v>
          </cell>
        </row>
        <row r="8">
          <cell r="C8">
            <v>5.5</v>
          </cell>
          <cell r="D8">
            <v>-2</v>
          </cell>
          <cell r="K8">
            <v>6.72</v>
          </cell>
          <cell r="L8">
            <v>3.08</v>
          </cell>
        </row>
        <row r="9">
          <cell r="C9">
            <v>2.4</v>
          </cell>
          <cell r="D9">
            <v>-0.9</v>
          </cell>
          <cell r="K9">
            <v>6.84</v>
          </cell>
          <cell r="L9">
            <v>2.82</v>
          </cell>
        </row>
        <row r="10">
          <cell r="C10">
            <v>2</v>
          </cell>
          <cell r="D10">
            <v>-0.4</v>
          </cell>
          <cell r="K10">
            <v>7.73</v>
          </cell>
          <cell r="L10">
            <v>2.61</v>
          </cell>
        </row>
        <row r="11">
          <cell r="C11">
            <v>3.8</v>
          </cell>
          <cell r="D11">
            <v>-0.5</v>
          </cell>
          <cell r="K11">
            <v>7.37</v>
          </cell>
          <cell r="L11">
            <v>2.5499999999999998</v>
          </cell>
        </row>
        <row r="12">
          <cell r="C12">
            <v>6.4</v>
          </cell>
          <cell r="D12">
            <v>-0.3</v>
          </cell>
          <cell r="K12">
            <v>7.28</v>
          </cell>
          <cell r="L12">
            <v>2.58</v>
          </cell>
        </row>
        <row r="13">
          <cell r="C13">
            <v>14</v>
          </cell>
          <cell r="D13">
            <v>0.9</v>
          </cell>
          <cell r="K13">
            <v>6.67</v>
          </cell>
          <cell r="L13">
            <v>2.62</v>
          </cell>
        </row>
        <row r="14">
          <cell r="C14">
            <v>24</v>
          </cell>
          <cell r="D14">
            <v>1.4</v>
          </cell>
          <cell r="K14">
            <v>6.21</v>
          </cell>
          <cell r="L14">
            <v>2.52</v>
          </cell>
        </row>
        <row r="15">
          <cell r="C15">
            <v>38.799999999999997</v>
          </cell>
          <cell r="D15">
            <v>2.1</v>
          </cell>
          <cell r="K15">
            <v>5.97</v>
          </cell>
          <cell r="L15">
            <v>2.37</v>
          </cell>
        </row>
        <row r="16">
          <cell r="C16">
            <v>43.8</v>
          </cell>
          <cell r="D16">
            <v>-1</v>
          </cell>
          <cell r="K16">
            <v>5.77</v>
          </cell>
          <cell r="L16">
            <v>2.39</v>
          </cell>
        </row>
        <row r="17">
          <cell r="C17">
            <v>44.1</v>
          </cell>
          <cell r="D17">
            <v>-1.7</v>
          </cell>
          <cell r="K17">
            <v>5.73</v>
          </cell>
          <cell r="L17">
            <v>2.5099999999999998</v>
          </cell>
        </row>
        <row r="18">
          <cell r="C18">
            <v>45.1</v>
          </cell>
          <cell r="D18">
            <v>-2</v>
          </cell>
          <cell r="K18">
            <v>5.6</v>
          </cell>
          <cell r="L18">
            <v>2.41</v>
          </cell>
        </row>
        <row r="19">
          <cell r="A19" t="str">
            <v>昭54</v>
          </cell>
          <cell r="C19">
            <v>47.4</v>
          </cell>
          <cell r="D19">
            <v>-2</v>
          </cell>
          <cell r="K19">
            <v>5.54</v>
          </cell>
          <cell r="L19">
            <v>2.41</v>
          </cell>
        </row>
        <row r="20">
          <cell r="C20">
            <v>49</v>
          </cell>
          <cell r="D20">
            <v>-1.6</v>
          </cell>
          <cell r="K20">
            <v>5.16</v>
          </cell>
          <cell r="L20">
            <v>2.33</v>
          </cell>
        </row>
        <row r="21">
          <cell r="C21">
            <v>46.7</v>
          </cell>
          <cell r="D21">
            <v>-1.5</v>
          </cell>
          <cell r="K21">
            <v>5.28</v>
          </cell>
          <cell r="L21">
            <v>2.16</v>
          </cell>
        </row>
        <row r="22">
          <cell r="C22">
            <v>45.3</v>
          </cell>
          <cell r="D22">
            <v>-2.1</v>
          </cell>
          <cell r="K22">
            <v>6.48</v>
          </cell>
          <cell r="L22">
            <v>2.09</v>
          </cell>
        </row>
        <row r="23">
          <cell r="C23">
            <v>46.2</v>
          </cell>
          <cell r="D23">
            <v>-2.5</v>
          </cell>
          <cell r="K23">
            <v>6.79</v>
          </cell>
          <cell r="L23">
            <v>2.13</v>
          </cell>
        </row>
        <row r="24">
          <cell r="C24">
            <v>47</v>
          </cell>
          <cell r="D24">
            <v>-1.7</v>
          </cell>
          <cell r="K24">
            <v>6.61</v>
          </cell>
          <cell r="L24">
            <v>2.13</v>
          </cell>
        </row>
        <row r="25">
          <cell r="C25">
            <v>47.4</v>
          </cell>
          <cell r="D25">
            <v>-0.1</v>
          </cell>
          <cell r="K25">
            <v>6.61</v>
          </cell>
          <cell r="L25">
            <v>2.12</v>
          </cell>
        </row>
        <row r="26">
          <cell r="C26">
            <v>57.4</v>
          </cell>
          <cell r="D26">
            <v>4.5</v>
          </cell>
          <cell r="K26">
            <v>6.4</v>
          </cell>
          <cell r="L26">
            <v>1.88</v>
          </cell>
        </row>
        <row r="27">
          <cell r="C27">
            <v>61.2</v>
          </cell>
          <cell r="D27">
            <v>4.9000000000000004</v>
          </cell>
          <cell r="K27">
            <v>6.39</v>
          </cell>
          <cell r="L27">
            <v>1.74</v>
          </cell>
        </row>
        <row r="28">
          <cell r="C28">
            <v>55.6</v>
          </cell>
          <cell r="D28">
            <v>3.9</v>
          </cell>
          <cell r="K28">
            <v>6.94</v>
          </cell>
          <cell r="L28">
            <v>1.64</v>
          </cell>
        </row>
        <row r="29">
          <cell r="C29">
            <v>55.2</v>
          </cell>
          <cell r="D29">
            <v>4.0999999999999996</v>
          </cell>
          <cell r="K29">
            <v>7.22</v>
          </cell>
          <cell r="L29">
            <v>1.64</v>
          </cell>
        </row>
        <row r="30">
          <cell r="C30">
            <v>56.2</v>
          </cell>
          <cell r="D30">
            <v>4.3</v>
          </cell>
          <cell r="K30">
            <v>7</v>
          </cell>
          <cell r="L30">
            <v>1.59</v>
          </cell>
        </row>
        <row r="31">
          <cell r="C31">
            <v>57.4</v>
          </cell>
          <cell r="D31">
            <v>4.0999999999999996</v>
          </cell>
          <cell r="K31">
            <v>6.82</v>
          </cell>
          <cell r="L31">
            <v>1.77</v>
          </cell>
        </row>
        <row r="32">
          <cell r="C32">
            <v>58.4</v>
          </cell>
          <cell r="D32">
            <v>4.7</v>
          </cell>
          <cell r="K32">
            <v>6.55</v>
          </cell>
          <cell r="L32">
            <v>1.78</v>
          </cell>
        </row>
        <row r="33">
          <cell r="C33">
            <v>56.2</v>
          </cell>
          <cell r="D33">
            <v>5.0999999999999996</v>
          </cell>
          <cell r="K33">
            <v>6.64</v>
          </cell>
          <cell r="L33">
            <v>1.68</v>
          </cell>
        </row>
        <row r="34">
          <cell r="C34">
            <v>55</v>
          </cell>
          <cell r="D34">
            <v>4.5</v>
          </cell>
          <cell r="K34">
            <v>7.52</v>
          </cell>
          <cell r="L34">
            <v>1.43</v>
          </cell>
        </row>
        <row r="35">
          <cell r="C35">
            <v>56.4</v>
          </cell>
          <cell r="D35">
            <v>4.3</v>
          </cell>
          <cell r="K35">
            <v>7.28</v>
          </cell>
          <cell r="L35">
            <v>1.57</v>
          </cell>
        </row>
        <row r="36">
          <cell r="C36">
            <v>57</v>
          </cell>
          <cell r="D36">
            <v>4.0999999999999996</v>
          </cell>
          <cell r="K36">
            <v>7.01</v>
          </cell>
          <cell r="L36">
            <v>1.63</v>
          </cell>
        </row>
        <row r="37">
          <cell r="C37">
            <v>59.6</v>
          </cell>
          <cell r="D37">
            <v>5.5</v>
          </cell>
          <cell r="K37">
            <v>6.78</v>
          </cell>
          <cell r="L37">
            <v>1.66</v>
          </cell>
        </row>
        <row r="38">
          <cell r="C38">
            <v>62.8</v>
          </cell>
          <cell r="D38">
            <v>3.3</v>
          </cell>
          <cell r="K38">
            <v>6.64</v>
          </cell>
          <cell r="L38">
            <v>1.65</v>
          </cell>
        </row>
        <row r="39">
          <cell r="C39">
            <v>69.2</v>
          </cell>
          <cell r="D39">
            <v>4.5</v>
          </cell>
          <cell r="K39">
            <v>5.86</v>
          </cell>
          <cell r="L39">
            <v>1.63</v>
          </cell>
        </row>
        <row r="40">
          <cell r="C40">
            <v>71.599999999999994</v>
          </cell>
          <cell r="D40">
            <v>3.3</v>
          </cell>
          <cell r="K40">
            <v>5.51</v>
          </cell>
          <cell r="L40">
            <v>1.58</v>
          </cell>
        </row>
        <row r="41">
          <cell r="C41">
            <v>71.2</v>
          </cell>
          <cell r="D41">
            <v>2.9</v>
          </cell>
          <cell r="K41">
            <v>5.85</v>
          </cell>
          <cell r="L41">
            <v>1.64</v>
          </cell>
        </row>
        <row r="42">
          <cell r="C42">
            <v>70.400000000000006</v>
          </cell>
          <cell r="D42">
            <v>2.9</v>
          </cell>
          <cell r="K42">
            <v>6.2</v>
          </cell>
          <cell r="L42">
            <v>1.64</v>
          </cell>
        </row>
        <row r="43">
          <cell r="C43">
            <v>71.8</v>
          </cell>
          <cell r="D43">
            <v>3.3</v>
          </cell>
          <cell r="K43">
            <v>6.34</v>
          </cell>
          <cell r="L43">
            <v>1.87</v>
          </cell>
        </row>
        <row r="44">
          <cell r="C44">
            <v>71.400000000000006</v>
          </cell>
          <cell r="D44">
            <v>3.5</v>
          </cell>
          <cell r="K44">
            <v>6.32</v>
          </cell>
          <cell r="L44">
            <v>1.85</v>
          </cell>
        </row>
        <row r="45">
          <cell r="C45">
            <v>70.400000000000006</v>
          </cell>
          <cell r="D45">
            <v>4.5</v>
          </cell>
          <cell r="K45">
            <v>6.84</v>
          </cell>
          <cell r="L45">
            <v>1.93</v>
          </cell>
        </row>
        <row r="46">
          <cell r="C46">
            <v>68.8</v>
          </cell>
          <cell r="D46">
            <v>3.7</v>
          </cell>
          <cell r="K46">
            <v>7.8</v>
          </cell>
          <cell r="L46">
            <v>1.79</v>
          </cell>
        </row>
        <row r="47">
          <cell r="C47">
            <v>68.8</v>
          </cell>
          <cell r="D47">
            <v>3.5</v>
          </cell>
          <cell r="K47">
            <v>7.73</v>
          </cell>
          <cell r="L47">
            <v>1.85</v>
          </cell>
        </row>
        <row r="48">
          <cell r="C48">
            <v>70.400000000000006</v>
          </cell>
          <cell r="D48">
            <v>3.5</v>
          </cell>
          <cell r="K48">
            <v>7.64</v>
          </cell>
          <cell r="L48">
            <v>1.9</v>
          </cell>
        </row>
        <row r="49">
          <cell r="C49">
            <v>73.8</v>
          </cell>
          <cell r="D49">
            <v>4.0999999999999996</v>
          </cell>
          <cell r="K49">
            <v>7.22</v>
          </cell>
          <cell r="L49">
            <v>1.98</v>
          </cell>
        </row>
        <row r="50">
          <cell r="C50">
            <v>69.599999999999994</v>
          </cell>
          <cell r="D50">
            <v>3.5</v>
          </cell>
          <cell r="K50">
            <v>7.76</v>
          </cell>
          <cell r="L50">
            <v>1.97</v>
          </cell>
        </row>
        <row r="51">
          <cell r="C51">
            <v>70.8</v>
          </cell>
          <cell r="D51">
            <v>3.5</v>
          </cell>
          <cell r="K51">
            <v>7.81</v>
          </cell>
          <cell r="L51">
            <v>1.97</v>
          </cell>
        </row>
        <row r="52">
          <cell r="C52">
            <v>72.2</v>
          </cell>
          <cell r="D52">
            <v>2.9</v>
          </cell>
          <cell r="K52">
            <v>7.53</v>
          </cell>
          <cell r="L52">
            <v>2.0499999999999998</v>
          </cell>
        </row>
        <row r="53">
          <cell r="C53">
            <v>72.400000000000006</v>
          </cell>
          <cell r="D53">
            <v>3.1</v>
          </cell>
          <cell r="K53">
            <v>7.53</v>
          </cell>
          <cell r="L53">
            <v>2.08</v>
          </cell>
        </row>
        <row r="54">
          <cell r="C54">
            <v>72.2</v>
          </cell>
          <cell r="D54">
            <v>3.7</v>
          </cell>
          <cell r="K54">
            <v>7.48</v>
          </cell>
          <cell r="L54">
            <v>2.09</v>
          </cell>
        </row>
        <row r="55">
          <cell r="C55">
            <v>72.599999999999994</v>
          </cell>
          <cell r="D55">
            <v>3.7</v>
          </cell>
          <cell r="K55">
            <v>7.61</v>
          </cell>
          <cell r="L55">
            <v>2.19</v>
          </cell>
        </row>
        <row r="56">
          <cell r="C56">
            <v>73</v>
          </cell>
          <cell r="D56">
            <v>4.0999999999999996</v>
          </cell>
          <cell r="K56">
            <v>7.4</v>
          </cell>
          <cell r="L56">
            <v>2.2000000000000002</v>
          </cell>
        </row>
        <row r="57">
          <cell r="C57">
            <v>72</v>
          </cell>
          <cell r="D57">
            <v>4.3</v>
          </cell>
          <cell r="K57">
            <v>7.49</v>
          </cell>
          <cell r="L57">
            <v>2.12</v>
          </cell>
        </row>
        <row r="58">
          <cell r="C58">
            <v>72</v>
          </cell>
          <cell r="D58">
            <v>3.5</v>
          </cell>
          <cell r="K58">
            <v>7.75</v>
          </cell>
          <cell r="L58">
            <v>2.1800000000000002</v>
          </cell>
        </row>
        <row r="59">
          <cell r="C59">
            <v>72.8</v>
          </cell>
          <cell r="D59">
            <v>3.5</v>
          </cell>
          <cell r="K59">
            <v>7.45</v>
          </cell>
          <cell r="L59">
            <v>2.52</v>
          </cell>
        </row>
        <row r="60">
          <cell r="C60">
            <v>74.400000000000006</v>
          </cell>
          <cell r="D60">
            <v>3.5</v>
          </cell>
          <cell r="K60">
            <v>7.39</v>
          </cell>
          <cell r="L60">
            <v>2.7</v>
          </cell>
        </row>
        <row r="61">
          <cell r="C61">
            <v>78.400000000000006</v>
          </cell>
          <cell r="D61">
            <v>3.5</v>
          </cell>
          <cell r="K61">
            <v>7.26</v>
          </cell>
          <cell r="L61">
            <v>2.65</v>
          </cell>
        </row>
        <row r="62">
          <cell r="C62">
            <v>104</v>
          </cell>
          <cell r="D62">
            <v>4.9000000000000004</v>
          </cell>
          <cell r="K62">
            <v>7.15</v>
          </cell>
          <cell r="L62">
            <v>2.4700000000000002</v>
          </cell>
        </row>
        <row r="63">
          <cell r="C63">
            <v>115.8</v>
          </cell>
          <cell r="D63">
            <v>0.3</v>
          </cell>
          <cell r="K63">
            <v>7.17</v>
          </cell>
          <cell r="L63">
            <v>2.2799999999999998</v>
          </cell>
        </row>
        <row r="64">
          <cell r="C64">
            <v>121.4</v>
          </cell>
          <cell r="D64">
            <v>-4.5</v>
          </cell>
          <cell r="K64">
            <v>7.23</v>
          </cell>
          <cell r="L64">
            <v>2.2799999999999998</v>
          </cell>
        </row>
        <row r="65">
          <cell r="C65">
            <v>120</v>
          </cell>
          <cell r="D65">
            <v>-4.9000000000000004</v>
          </cell>
          <cell r="K65">
            <v>7.51</v>
          </cell>
          <cell r="L65">
            <v>2.35</v>
          </cell>
        </row>
        <row r="66">
          <cell r="C66">
            <v>119.6</v>
          </cell>
          <cell r="D66">
            <v>-4.9000000000000004</v>
          </cell>
          <cell r="K66">
            <v>7.57</v>
          </cell>
          <cell r="L66">
            <v>2.37</v>
          </cell>
        </row>
        <row r="67">
          <cell r="C67">
            <v>120</v>
          </cell>
          <cell r="D67">
            <v>-5.0999999999999996</v>
          </cell>
          <cell r="K67">
            <v>7.61</v>
          </cell>
          <cell r="L67">
            <v>2.6</v>
          </cell>
        </row>
        <row r="68">
          <cell r="C68">
            <v>120.6</v>
          </cell>
          <cell r="D68">
            <v>-4.7</v>
          </cell>
          <cell r="K68">
            <v>7.38</v>
          </cell>
          <cell r="L68">
            <v>2.5499999999999998</v>
          </cell>
        </row>
        <row r="69">
          <cell r="C69">
            <v>119</v>
          </cell>
          <cell r="D69">
            <v>-5.0999999999999996</v>
          </cell>
          <cell r="K69">
            <v>7.51</v>
          </cell>
          <cell r="L69">
            <v>2.4500000000000002</v>
          </cell>
        </row>
        <row r="70">
          <cell r="C70">
            <v>119.4</v>
          </cell>
          <cell r="D70">
            <v>-6.1</v>
          </cell>
          <cell r="K70">
            <v>7.99</v>
          </cell>
          <cell r="L70">
            <v>2.39</v>
          </cell>
        </row>
        <row r="71">
          <cell r="C71">
            <v>119.8</v>
          </cell>
          <cell r="D71">
            <v>-6.5</v>
          </cell>
          <cell r="K71">
            <v>7.69</v>
          </cell>
          <cell r="L71">
            <v>2.69</v>
          </cell>
        </row>
        <row r="72">
          <cell r="C72">
            <v>120.4</v>
          </cell>
          <cell r="D72">
            <v>-6.1</v>
          </cell>
          <cell r="K72">
            <v>7.55</v>
          </cell>
          <cell r="L72">
            <v>2.8</v>
          </cell>
        </row>
        <row r="73">
          <cell r="C73">
            <v>123.6</v>
          </cell>
          <cell r="D73">
            <v>-3.5</v>
          </cell>
          <cell r="K73">
            <v>7.47</v>
          </cell>
          <cell r="L73">
            <v>2.57</v>
          </cell>
        </row>
        <row r="74">
          <cell r="C74">
            <v>133.6</v>
          </cell>
          <cell r="D74">
            <v>-0.1</v>
          </cell>
          <cell r="K74">
            <v>7.11</v>
          </cell>
        </row>
        <row r="75">
          <cell r="C75">
            <v>132.80000000000001</v>
          </cell>
          <cell r="D75">
            <v>-0.3</v>
          </cell>
          <cell r="K75">
            <v>7.02</v>
          </cell>
        </row>
        <row r="76">
          <cell r="C76">
            <v>133.4</v>
          </cell>
          <cell r="D76">
            <v>-0.3</v>
          </cell>
          <cell r="K76">
            <v>7.09</v>
          </cell>
          <cell r="L76">
            <v>1.97</v>
          </cell>
        </row>
        <row r="77">
          <cell r="C77">
            <v>131.4</v>
          </cell>
          <cell r="D77">
            <v>-0.7</v>
          </cell>
          <cell r="K77">
            <v>7.43</v>
          </cell>
          <cell r="L77">
            <v>1.92</v>
          </cell>
        </row>
        <row r="78">
          <cell r="C78">
            <v>131.19999999999999</v>
          </cell>
          <cell r="D78">
            <v>-0.5</v>
          </cell>
          <cell r="K78">
            <v>7.57</v>
          </cell>
          <cell r="L78">
            <v>1.74</v>
          </cell>
        </row>
        <row r="79">
          <cell r="A79">
            <v>59</v>
          </cell>
          <cell r="C79">
            <v>132</v>
          </cell>
          <cell r="D79">
            <v>-0.7</v>
          </cell>
          <cell r="K79">
            <v>7.47</v>
          </cell>
          <cell r="L79">
            <v>1.87</v>
          </cell>
        </row>
        <row r="80">
          <cell r="C80">
            <v>132.6</v>
          </cell>
          <cell r="D80">
            <v>-0.3</v>
          </cell>
          <cell r="K80">
            <v>7.24</v>
          </cell>
          <cell r="L80">
            <v>1.73</v>
          </cell>
        </row>
        <row r="81">
          <cell r="C81">
            <v>131.6</v>
          </cell>
          <cell r="D81">
            <v>0.3</v>
          </cell>
          <cell r="K81">
            <v>7.22</v>
          </cell>
          <cell r="L81">
            <v>1.61</v>
          </cell>
        </row>
        <row r="82">
          <cell r="C82">
            <v>129.80000000000001</v>
          </cell>
          <cell r="D82">
            <v>-0.3</v>
          </cell>
          <cell r="K82">
            <v>7.88</v>
          </cell>
          <cell r="L82">
            <v>1.38</v>
          </cell>
        </row>
        <row r="83">
          <cell r="C83">
            <v>130.4</v>
          </cell>
          <cell r="D83">
            <v>-0.1</v>
          </cell>
          <cell r="K83">
            <v>7.75</v>
          </cell>
          <cell r="L83">
            <v>1.52</v>
          </cell>
        </row>
        <row r="84">
          <cell r="C84">
            <v>133</v>
          </cell>
          <cell r="D84">
            <v>1.5</v>
          </cell>
          <cell r="K84">
            <v>7.38</v>
          </cell>
          <cell r="L84">
            <v>1.35</v>
          </cell>
        </row>
        <row r="85">
          <cell r="C85">
            <v>146.80000000000001</v>
          </cell>
          <cell r="D85">
            <v>7.9</v>
          </cell>
          <cell r="K85">
            <v>6.98</v>
          </cell>
          <cell r="L85">
            <v>1.06</v>
          </cell>
        </row>
        <row r="86">
          <cell r="C86">
            <v>173.4</v>
          </cell>
          <cell r="D86">
            <v>5.5</v>
          </cell>
          <cell r="K86">
            <v>6.41</v>
          </cell>
          <cell r="L86">
            <v>0.69</v>
          </cell>
        </row>
        <row r="87">
          <cell r="C87">
            <v>189.2</v>
          </cell>
          <cell r="D87">
            <v>1.3</v>
          </cell>
          <cell r="K87">
            <v>5.94</v>
          </cell>
          <cell r="L87">
            <v>0.54</v>
          </cell>
        </row>
        <row r="88">
          <cell r="C88">
            <v>191</v>
          </cell>
          <cell r="D88">
            <v>-0.5</v>
          </cell>
          <cell r="K88">
            <v>5.97</v>
          </cell>
          <cell r="L88">
            <v>0.54</v>
          </cell>
        </row>
        <row r="89">
          <cell r="C89">
            <v>189.8</v>
          </cell>
          <cell r="D89">
            <v>-0.5</v>
          </cell>
          <cell r="K89">
            <v>6.06</v>
          </cell>
          <cell r="L89">
            <v>0.56999999999999995</v>
          </cell>
        </row>
        <row r="90">
          <cell r="C90">
            <v>188.6</v>
          </cell>
          <cell r="D90">
            <v>0.7</v>
          </cell>
          <cell r="K90">
            <v>6.02</v>
          </cell>
          <cell r="L90">
            <v>0.45</v>
          </cell>
        </row>
        <row r="91">
          <cell r="C91">
            <v>189.6</v>
          </cell>
          <cell r="D91">
            <v>0.9</v>
          </cell>
          <cell r="K91">
            <v>5.84</v>
          </cell>
          <cell r="L91">
            <v>0.46</v>
          </cell>
        </row>
        <row r="92">
          <cell r="C92">
            <v>189.4</v>
          </cell>
          <cell r="D92">
            <v>1.5</v>
          </cell>
          <cell r="K92">
            <v>5.75</v>
          </cell>
          <cell r="L92">
            <v>0.33</v>
          </cell>
        </row>
        <row r="93">
          <cell r="C93">
            <v>187.4</v>
          </cell>
          <cell r="D93">
            <v>2.1</v>
          </cell>
          <cell r="K93">
            <v>5.87</v>
          </cell>
          <cell r="L93">
            <v>0.08</v>
          </cell>
        </row>
        <row r="94">
          <cell r="C94">
            <v>186</v>
          </cell>
          <cell r="D94">
            <v>1.5</v>
          </cell>
          <cell r="K94">
            <v>6.63</v>
          </cell>
          <cell r="L94">
            <v>0.03</v>
          </cell>
        </row>
        <row r="95">
          <cell r="C95">
            <v>186.6</v>
          </cell>
          <cell r="D95">
            <v>1.3</v>
          </cell>
          <cell r="K95">
            <v>6.45</v>
          </cell>
          <cell r="L95">
            <v>0.32</v>
          </cell>
        </row>
        <row r="96">
          <cell r="C96">
            <v>188.8</v>
          </cell>
          <cell r="D96">
            <v>2.5</v>
          </cell>
          <cell r="K96">
            <v>6.12</v>
          </cell>
          <cell r="L96">
            <v>0.38</v>
          </cell>
        </row>
        <row r="97">
          <cell r="C97">
            <v>189.8</v>
          </cell>
          <cell r="D97">
            <v>3.3</v>
          </cell>
          <cell r="K97">
            <v>6</v>
          </cell>
          <cell r="L97">
            <v>0.38</v>
          </cell>
        </row>
        <row r="98">
          <cell r="C98">
            <v>203</v>
          </cell>
          <cell r="D98">
            <v>4.0999999999999996</v>
          </cell>
          <cell r="K98">
            <v>5.73</v>
          </cell>
          <cell r="L98">
            <v>0.09</v>
          </cell>
        </row>
        <row r="99">
          <cell r="C99">
            <v>196</v>
          </cell>
          <cell r="D99">
            <v>3.1</v>
          </cell>
          <cell r="K99">
            <v>5.7</v>
          </cell>
          <cell r="L99">
            <v>0</v>
          </cell>
        </row>
        <row r="100">
          <cell r="C100">
            <v>194.6</v>
          </cell>
          <cell r="D100">
            <v>3.5</v>
          </cell>
          <cell r="K100">
            <v>5.67</v>
          </cell>
          <cell r="L100">
            <v>-0.05</v>
          </cell>
        </row>
        <row r="101">
          <cell r="C101">
            <v>194.4</v>
          </cell>
          <cell r="D101">
            <v>3.1</v>
          </cell>
          <cell r="K101">
            <v>5.8</v>
          </cell>
          <cell r="L101">
            <v>0.16</v>
          </cell>
        </row>
        <row r="102">
          <cell r="C102">
            <v>194.8</v>
          </cell>
          <cell r="D102">
            <v>3.5</v>
          </cell>
          <cell r="K102">
            <v>5.81</v>
          </cell>
          <cell r="L102">
            <v>0.14000000000000001</v>
          </cell>
        </row>
        <row r="103">
          <cell r="C103">
            <v>194.6</v>
          </cell>
          <cell r="D103">
            <v>3.7</v>
          </cell>
          <cell r="K103">
            <v>5.86</v>
          </cell>
          <cell r="L103">
            <v>0.18</v>
          </cell>
        </row>
        <row r="104">
          <cell r="C104">
            <v>195.2</v>
          </cell>
          <cell r="D104">
            <v>3.9</v>
          </cell>
          <cell r="K104">
            <v>5.7</v>
          </cell>
          <cell r="L104">
            <v>0.09</v>
          </cell>
        </row>
        <row r="105">
          <cell r="C105">
            <v>194</v>
          </cell>
          <cell r="D105">
            <v>4.3</v>
          </cell>
          <cell r="K105">
            <v>5.8</v>
          </cell>
          <cell r="L105">
            <v>-0.01</v>
          </cell>
        </row>
        <row r="106">
          <cell r="C106">
            <v>192.8</v>
          </cell>
          <cell r="D106">
            <v>3.9</v>
          </cell>
          <cell r="K106">
            <v>6.7</v>
          </cell>
          <cell r="L106">
            <v>-0.22</v>
          </cell>
        </row>
        <row r="107">
          <cell r="C107">
            <v>193</v>
          </cell>
          <cell r="D107">
            <v>3.7</v>
          </cell>
          <cell r="K107">
            <v>6.69</v>
          </cell>
          <cell r="L107">
            <v>-0.02</v>
          </cell>
        </row>
        <row r="108">
          <cell r="C108">
            <v>194.2</v>
          </cell>
          <cell r="D108">
            <v>4.0999999999999996</v>
          </cell>
          <cell r="K108">
            <v>6.44</v>
          </cell>
          <cell r="L108">
            <v>0.16</v>
          </cell>
        </row>
        <row r="109">
          <cell r="C109">
            <v>196.8</v>
          </cell>
          <cell r="D109">
            <v>5.3</v>
          </cell>
          <cell r="K109">
            <v>6.22</v>
          </cell>
          <cell r="L109">
            <v>0.08</v>
          </cell>
        </row>
        <row r="110">
          <cell r="C110">
            <v>205.6</v>
          </cell>
          <cell r="D110">
            <v>7.1</v>
          </cell>
          <cell r="K110">
            <v>6.09</v>
          </cell>
          <cell r="L110">
            <v>-0.02</v>
          </cell>
        </row>
        <row r="111">
          <cell r="C111">
            <v>199.6</v>
          </cell>
          <cell r="D111">
            <v>5.7</v>
          </cell>
          <cell r="K111">
            <v>6.24</v>
          </cell>
          <cell r="L111">
            <v>-0.16</v>
          </cell>
        </row>
        <row r="112">
          <cell r="C112">
            <v>198.4</v>
          </cell>
          <cell r="D112">
            <v>5.0999999999999996</v>
          </cell>
          <cell r="K112">
            <v>6.47</v>
          </cell>
          <cell r="L112">
            <v>0.01</v>
          </cell>
        </row>
        <row r="113">
          <cell r="C113">
            <v>198.4</v>
          </cell>
          <cell r="D113">
            <v>4.7</v>
          </cell>
          <cell r="K113">
            <v>6.76</v>
          </cell>
          <cell r="L113">
            <v>0.02</v>
          </cell>
        </row>
        <row r="114">
          <cell r="C114">
            <v>198.4</v>
          </cell>
          <cell r="D114">
            <v>4.7</v>
          </cell>
          <cell r="K114">
            <v>6.74</v>
          </cell>
          <cell r="L114">
            <v>-0.02</v>
          </cell>
        </row>
        <row r="115">
          <cell r="C115">
            <v>199</v>
          </cell>
          <cell r="D115">
            <v>4.9000000000000004</v>
          </cell>
          <cell r="K115">
            <v>6.54</v>
          </cell>
          <cell r="L115">
            <v>0.14000000000000001</v>
          </cell>
        </row>
        <row r="116">
          <cell r="C116">
            <v>199.2</v>
          </cell>
          <cell r="D116">
            <v>4.9000000000000004</v>
          </cell>
          <cell r="K116">
            <v>6.37</v>
          </cell>
          <cell r="L116">
            <v>0.13</v>
          </cell>
        </row>
        <row r="117">
          <cell r="C117">
            <v>198</v>
          </cell>
          <cell r="D117">
            <v>4.5</v>
          </cell>
          <cell r="K117">
            <v>6.6</v>
          </cell>
          <cell r="L117">
            <v>0.19</v>
          </cell>
        </row>
        <row r="118">
          <cell r="C118">
            <v>197.4</v>
          </cell>
          <cell r="D118">
            <v>3.7</v>
          </cell>
          <cell r="K118">
            <v>7.35</v>
          </cell>
          <cell r="L118">
            <v>0.12</v>
          </cell>
        </row>
        <row r="119">
          <cell r="C119">
            <v>197.6</v>
          </cell>
          <cell r="D119">
            <v>3.5</v>
          </cell>
          <cell r="K119">
            <v>7.23</v>
          </cell>
          <cell r="L119">
            <v>0.31</v>
          </cell>
        </row>
        <row r="120">
          <cell r="C120">
            <v>198.8</v>
          </cell>
          <cell r="D120">
            <v>3.9</v>
          </cell>
          <cell r="K120">
            <v>6.97</v>
          </cell>
          <cell r="L120">
            <v>0.34</v>
          </cell>
        </row>
        <row r="121">
          <cell r="C121">
            <v>200.2</v>
          </cell>
          <cell r="D121">
            <v>5.5</v>
          </cell>
          <cell r="K121">
            <v>6.76</v>
          </cell>
          <cell r="L121">
            <v>-0.03</v>
          </cell>
        </row>
        <row r="122">
          <cell r="C122">
            <v>201.6</v>
          </cell>
          <cell r="D122">
            <v>6.9</v>
          </cell>
          <cell r="K122">
            <v>6.63</v>
          </cell>
          <cell r="L122">
            <v>-0.23</v>
          </cell>
        </row>
        <row r="123">
          <cell r="C123">
            <v>203.4</v>
          </cell>
          <cell r="D123">
            <v>7.1</v>
          </cell>
          <cell r="K123">
            <v>6.61</v>
          </cell>
          <cell r="L123">
            <v>-0.32</v>
          </cell>
        </row>
        <row r="124">
          <cell r="C124">
            <v>203.8</v>
          </cell>
          <cell r="D124">
            <v>7.7</v>
          </cell>
          <cell r="K124">
            <v>6.66</v>
          </cell>
          <cell r="L124">
            <v>-0.1</v>
          </cell>
        </row>
        <row r="125">
          <cell r="C125">
            <v>201</v>
          </cell>
          <cell r="D125">
            <v>9.9</v>
          </cell>
          <cell r="K125">
            <v>6.82</v>
          </cell>
          <cell r="L125">
            <v>0.06</v>
          </cell>
        </row>
        <row r="126">
          <cell r="C126">
            <v>201</v>
          </cell>
          <cell r="D126">
            <v>10.3</v>
          </cell>
          <cell r="L126">
            <v>-7.0000000000000007E-2</v>
          </cell>
        </row>
        <row r="127">
          <cell r="C127">
            <v>200.4</v>
          </cell>
          <cell r="D127">
            <v>10.7</v>
          </cell>
          <cell r="K127">
            <v>6.48</v>
          </cell>
          <cell r="L127">
            <v>0.12</v>
          </cell>
        </row>
        <row r="128">
          <cell r="C128">
            <v>200.6</v>
          </cell>
          <cell r="D128">
            <v>10.7</v>
          </cell>
          <cell r="K128">
            <v>6.73</v>
          </cell>
        </row>
        <row r="129">
          <cell r="C129">
            <v>199</v>
          </cell>
          <cell r="D129">
            <v>10.3</v>
          </cell>
          <cell r="K129">
            <v>7.1</v>
          </cell>
        </row>
        <row r="130">
          <cell r="C130">
            <v>198.4</v>
          </cell>
          <cell r="D130">
            <v>9.9</v>
          </cell>
          <cell r="K130">
            <v>7.74</v>
          </cell>
          <cell r="L130">
            <v>-0.11</v>
          </cell>
        </row>
        <row r="131">
          <cell r="C131">
            <v>198.2</v>
          </cell>
          <cell r="D131">
            <v>9.5</v>
          </cell>
          <cell r="K131">
            <v>7.74</v>
          </cell>
          <cell r="L131">
            <v>0.15</v>
          </cell>
        </row>
        <row r="132">
          <cell r="C132">
            <v>198.6</v>
          </cell>
          <cell r="D132">
            <v>9.6999999999999993</v>
          </cell>
          <cell r="K132">
            <v>7.63</v>
          </cell>
          <cell r="L132">
            <v>0.13</v>
          </cell>
        </row>
        <row r="133">
          <cell r="C133">
            <v>201</v>
          </cell>
          <cell r="D133">
            <v>11.1</v>
          </cell>
          <cell r="K133">
            <v>7.38</v>
          </cell>
          <cell r="L133">
            <v>-0.03</v>
          </cell>
        </row>
        <row r="134">
          <cell r="C134">
            <v>203.4</v>
          </cell>
          <cell r="D134">
            <v>11.9</v>
          </cell>
          <cell r="K134">
            <v>7.13</v>
          </cell>
          <cell r="L134">
            <v>-0.04</v>
          </cell>
        </row>
        <row r="135">
          <cell r="C135">
            <v>203.4</v>
          </cell>
          <cell r="D135">
            <v>11.9</v>
          </cell>
          <cell r="K135">
            <v>7.3</v>
          </cell>
          <cell r="L135">
            <v>-0.04</v>
          </cell>
        </row>
        <row r="136">
          <cell r="C136">
            <v>203.2</v>
          </cell>
          <cell r="D136">
            <v>11.7</v>
          </cell>
          <cell r="K136">
            <v>7.1</v>
          </cell>
          <cell r="L136">
            <v>0.15</v>
          </cell>
        </row>
        <row r="137">
          <cell r="C137">
            <v>202.4</v>
          </cell>
          <cell r="D137">
            <v>11.5</v>
          </cell>
          <cell r="K137">
            <v>7.21</v>
          </cell>
          <cell r="L137">
            <v>0.14000000000000001</v>
          </cell>
        </row>
        <row r="138">
          <cell r="C138">
            <v>202.4</v>
          </cell>
          <cell r="D138">
            <v>11.3</v>
          </cell>
          <cell r="K138">
            <v>7.41</v>
          </cell>
          <cell r="L138">
            <v>-0.1</v>
          </cell>
        </row>
        <row r="139">
          <cell r="A139" t="str">
            <v>平元</v>
          </cell>
          <cell r="C139">
            <v>202.4</v>
          </cell>
          <cell r="D139">
            <v>11.1</v>
          </cell>
          <cell r="K139">
            <v>7.36</v>
          </cell>
          <cell r="L139">
            <v>0.1</v>
          </cell>
        </row>
        <row r="140">
          <cell r="C140">
            <v>202.4</v>
          </cell>
          <cell r="D140">
            <v>11.3</v>
          </cell>
          <cell r="K140">
            <v>7.16</v>
          </cell>
          <cell r="L140">
            <v>0.18</v>
          </cell>
        </row>
        <row r="141">
          <cell r="C141">
            <v>201.6</v>
          </cell>
          <cell r="D141">
            <v>11.3</v>
          </cell>
          <cell r="K141">
            <v>7.53</v>
          </cell>
          <cell r="L141">
            <v>0.12</v>
          </cell>
        </row>
        <row r="142">
          <cell r="C142">
            <v>202</v>
          </cell>
          <cell r="D142">
            <v>11.5</v>
          </cell>
          <cell r="L142">
            <v>0.03</v>
          </cell>
        </row>
        <row r="143">
          <cell r="C143">
            <v>202.2</v>
          </cell>
          <cell r="D143">
            <v>11.7</v>
          </cell>
          <cell r="L143">
            <v>0.17</v>
          </cell>
        </row>
        <row r="144">
          <cell r="C144">
            <v>202.6</v>
          </cell>
          <cell r="D144">
            <v>11.9</v>
          </cell>
          <cell r="K144">
            <v>7.23</v>
          </cell>
          <cell r="L144">
            <v>0.15</v>
          </cell>
        </row>
        <row r="145">
          <cell r="C145">
            <v>204.8</v>
          </cell>
          <cell r="D145">
            <v>10.1</v>
          </cell>
          <cell r="K145">
            <v>7.08</v>
          </cell>
          <cell r="L145">
            <v>-0.02</v>
          </cell>
        </row>
        <row r="146">
          <cell r="C146">
            <v>207.6</v>
          </cell>
          <cell r="D146">
            <v>9.1</v>
          </cell>
          <cell r="K146">
            <v>6.83</v>
          </cell>
          <cell r="L146">
            <v>-0.15</v>
          </cell>
        </row>
        <row r="147">
          <cell r="C147">
            <v>207.2</v>
          </cell>
          <cell r="D147">
            <v>8.5</v>
          </cell>
          <cell r="K147">
            <v>7.14</v>
          </cell>
          <cell r="L147">
            <v>-0.31</v>
          </cell>
        </row>
        <row r="148">
          <cell r="C148">
            <v>207.2</v>
          </cell>
          <cell r="D148">
            <v>8.1</v>
          </cell>
          <cell r="K148">
            <v>7.14</v>
          </cell>
          <cell r="L148">
            <v>-0.15</v>
          </cell>
        </row>
        <row r="149">
          <cell r="C149">
            <v>206.8</v>
          </cell>
          <cell r="D149">
            <v>8.1</v>
          </cell>
          <cell r="K149">
            <v>7.22</v>
          </cell>
          <cell r="L149">
            <v>0.04</v>
          </cell>
        </row>
        <row r="150">
          <cell r="C150">
            <v>207</v>
          </cell>
          <cell r="D150">
            <v>8.1</v>
          </cell>
          <cell r="K150">
            <v>7.21</v>
          </cell>
          <cell r="L150">
            <v>0.03</v>
          </cell>
        </row>
        <row r="151">
          <cell r="C151">
            <v>207.2</v>
          </cell>
          <cell r="D151">
            <v>8.1</v>
          </cell>
          <cell r="K151">
            <v>7.22</v>
          </cell>
          <cell r="L151">
            <v>0.14000000000000001</v>
          </cell>
        </row>
        <row r="152">
          <cell r="C152">
            <v>206.4</v>
          </cell>
          <cell r="D152">
            <v>8.3000000000000007</v>
          </cell>
          <cell r="K152">
            <v>7.27</v>
          </cell>
          <cell r="L152">
            <v>0.03</v>
          </cell>
        </row>
        <row r="153">
          <cell r="C153">
            <v>206</v>
          </cell>
          <cell r="D153">
            <v>7.9</v>
          </cell>
          <cell r="K153">
            <v>7.71</v>
          </cell>
          <cell r="L153">
            <v>-0.1</v>
          </cell>
        </row>
        <row r="154">
          <cell r="C154">
            <v>205.8</v>
          </cell>
          <cell r="D154">
            <v>8.1</v>
          </cell>
          <cell r="K154">
            <v>7.65</v>
          </cell>
          <cell r="L154">
            <v>-0.06</v>
          </cell>
        </row>
        <row r="155">
          <cell r="C155">
            <v>205.6</v>
          </cell>
          <cell r="D155">
            <v>8.5</v>
          </cell>
          <cell r="K155">
            <v>7.55</v>
          </cell>
          <cell r="L155">
            <v>0.17</v>
          </cell>
        </row>
        <row r="156">
          <cell r="C156">
            <v>207.4</v>
          </cell>
          <cell r="D156">
            <v>8.9</v>
          </cell>
          <cell r="K156">
            <v>7.22</v>
          </cell>
          <cell r="L156">
            <v>0.08</v>
          </cell>
        </row>
        <row r="157">
          <cell r="C157">
            <v>215.2</v>
          </cell>
          <cell r="D157">
            <v>10.9</v>
          </cell>
          <cell r="K157">
            <v>7.05</v>
          </cell>
          <cell r="L157">
            <v>-0.1</v>
          </cell>
        </row>
        <row r="158">
          <cell r="C158">
            <v>215</v>
          </cell>
          <cell r="D158">
            <v>9.9</v>
          </cell>
          <cell r="K158">
            <v>6.94</v>
          </cell>
          <cell r="L158">
            <v>-0.26</v>
          </cell>
        </row>
        <row r="159">
          <cell r="C159">
            <v>214.6</v>
          </cell>
          <cell r="D159">
            <v>9.9</v>
          </cell>
          <cell r="K159">
            <v>6.88</v>
          </cell>
          <cell r="L159">
            <v>-0.32</v>
          </cell>
        </row>
        <row r="160">
          <cell r="C160">
            <v>213.8</v>
          </cell>
          <cell r="D160">
            <v>9.3000000000000007</v>
          </cell>
          <cell r="K160">
            <v>7</v>
          </cell>
          <cell r="L160">
            <v>-0.16</v>
          </cell>
        </row>
        <row r="161">
          <cell r="C161">
            <v>213.4</v>
          </cell>
          <cell r="D161">
            <v>9.5</v>
          </cell>
          <cell r="K161">
            <v>6.72</v>
          </cell>
          <cell r="L161">
            <v>0.05</v>
          </cell>
        </row>
        <row r="162">
          <cell r="C162">
            <v>213.2</v>
          </cell>
          <cell r="D162">
            <v>9.5</v>
          </cell>
          <cell r="K162">
            <v>6.91</v>
          </cell>
          <cell r="L162">
            <v>0.13</v>
          </cell>
        </row>
        <row r="163">
          <cell r="C163">
            <v>213.2</v>
          </cell>
          <cell r="D163">
            <v>9.5</v>
          </cell>
          <cell r="K163">
            <v>6.9</v>
          </cell>
          <cell r="L163">
            <v>0.24</v>
          </cell>
        </row>
        <row r="164">
          <cell r="C164">
            <v>213.2</v>
          </cell>
          <cell r="D164">
            <v>10.1</v>
          </cell>
          <cell r="K164">
            <v>6.85</v>
          </cell>
          <cell r="L164">
            <v>0.23</v>
          </cell>
        </row>
        <row r="165">
          <cell r="C165">
            <v>212.2</v>
          </cell>
          <cell r="D165">
            <v>9.6999999999999993</v>
          </cell>
          <cell r="K165">
            <v>7.07</v>
          </cell>
          <cell r="L165">
            <v>-0.02</v>
          </cell>
        </row>
        <row r="166">
          <cell r="C166">
            <v>211.2</v>
          </cell>
          <cell r="D166">
            <v>9.5</v>
          </cell>
          <cell r="K166">
            <v>7.7</v>
          </cell>
          <cell r="L166">
            <v>-7.0000000000000007E-2</v>
          </cell>
        </row>
        <row r="167">
          <cell r="C167">
            <v>211.6</v>
          </cell>
          <cell r="D167">
            <v>9.5</v>
          </cell>
          <cell r="K167">
            <v>7.53</v>
          </cell>
          <cell r="L167">
            <v>0.04</v>
          </cell>
        </row>
        <row r="168">
          <cell r="C168">
            <v>212</v>
          </cell>
          <cell r="D168">
            <v>10.5</v>
          </cell>
          <cell r="K168">
            <v>7.09</v>
          </cell>
          <cell r="L168">
            <v>0.11</v>
          </cell>
        </row>
        <row r="169">
          <cell r="C169">
            <v>212.6</v>
          </cell>
          <cell r="D169">
            <v>10.9</v>
          </cell>
          <cell r="K169">
            <v>6.75</v>
          </cell>
          <cell r="L169">
            <v>0.02</v>
          </cell>
        </row>
        <row r="170">
          <cell r="C170">
            <v>213</v>
          </cell>
          <cell r="D170">
            <v>11.5</v>
          </cell>
          <cell r="K170">
            <v>6.66</v>
          </cell>
          <cell r="L170">
            <v>-0.05</v>
          </cell>
        </row>
        <row r="171">
          <cell r="C171">
            <v>214.4</v>
          </cell>
          <cell r="D171">
            <v>12.1</v>
          </cell>
          <cell r="K171">
            <v>6.48</v>
          </cell>
          <cell r="L171">
            <v>-0.09</v>
          </cell>
        </row>
        <row r="172">
          <cell r="C172">
            <v>214.8</v>
          </cell>
          <cell r="D172">
            <v>11.7</v>
          </cell>
          <cell r="K172">
            <v>6.47</v>
          </cell>
          <cell r="L172">
            <v>-0.15</v>
          </cell>
        </row>
        <row r="173">
          <cell r="C173">
            <v>214.6</v>
          </cell>
          <cell r="D173">
            <v>11.5</v>
          </cell>
          <cell r="K173">
            <v>6.57</v>
          </cell>
          <cell r="L173">
            <v>-0.01</v>
          </cell>
        </row>
        <row r="174">
          <cell r="C174">
            <v>214.8</v>
          </cell>
          <cell r="D174">
            <v>11.3</v>
          </cell>
          <cell r="K174">
            <v>6.55</v>
          </cell>
          <cell r="L174">
            <v>0.09</v>
          </cell>
        </row>
        <row r="175">
          <cell r="C175">
            <v>214.6</v>
          </cell>
          <cell r="D175">
            <v>11.3</v>
          </cell>
          <cell r="K175">
            <v>6.65</v>
          </cell>
          <cell r="L175">
            <v>0.28999999999999998</v>
          </cell>
        </row>
        <row r="176">
          <cell r="C176">
            <v>214.6</v>
          </cell>
          <cell r="D176">
            <v>11.5</v>
          </cell>
          <cell r="K176">
            <v>6.64</v>
          </cell>
          <cell r="L176">
            <v>0.24</v>
          </cell>
        </row>
        <row r="177">
          <cell r="C177">
            <v>213.6</v>
          </cell>
          <cell r="D177">
            <v>10.9</v>
          </cell>
          <cell r="K177">
            <v>6.89</v>
          </cell>
          <cell r="L177">
            <v>0.09</v>
          </cell>
        </row>
        <row r="178">
          <cell r="C178">
            <v>213.2</v>
          </cell>
          <cell r="D178">
            <v>10.9</v>
          </cell>
          <cell r="K178">
            <v>7.28</v>
          </cell>
          <cell r="L178">
            <v>0.13</v>
          </cell>
        </row>
        <row r="179">
          <cell r="C179">
            <v>213.2</v>
          </cell>
          <cell r="D179">
            <v>10.9</v>
          </cell>
          <cell r="K179">
            <v>7.16</v>
          </cell>
          <cell r="L179">
            <v>0.23</v>
          </cell>
        </row>
        <row r="180">
          <cell r="C180">
            <v>213.6</v>
          </cell>
          <cell r="D180">
            <v>11.1</v>
          </cell>
          <cell r="K180">
            <v>7.04</v>
          </cell>
          <cell r="L180">
            <v>0.25</v>
          </cell>
        </row>
        <row r="181">
          <cell r="C181">
            <v>215.2</v>
          </cell>
          <cell r="D181">
            <v>10.7</v>
          </cell>
          <cell r="K181">
            <v>6.74</v>
          </cell>
          <cell r="L181">
            <v>0.15</v>
          </cell>
        </row>
        <row r="182">
          <cell r="C182">
            <v>215.8</v>
          </cell>
          <cell r="D182">
            <v>9.9</v>
          </cell>
          <cell r="K182">
            <v>6.73</v>
          </cell>
          <cell r="L182">
            <v>0.15</v>
          </cell>
        </row>
        <row r="183">
          <cell r="C183">
            <v>215.4</v>
          </cell>
          <cell r="D183">
            <v>9.5</v>
          </cell>
          <cell r="K183">
            <v>7</v>
          </cell>
          <cell r="L183">
            <v>0.18</v>
          </cell>
        </row>
        <row r="184">
          <cell r="C184">
            <v>215.2</v>
          </cell>
          <cell r="D184">
            <v>9.6999999999999993</v>
          </cell>
          <cell r="K184">
            <v>7.19</v>
          </cell>
          <cell r="L184">
            <v>0.28000000000000003</v>
          </cell>
        </row>
        <row r="185">
          <cell r="C185">
            <v>215</v>
          </cell>
          <cell r="D185">
            <v>9.6999999999999993</v>
          </cell>
          <cell r="K185">
            <v>7.07</v>
          </cell>
          <cell r="L185">
            <v>0.46</v>
          </cell>
        </row>
        <row r="186">
          <cell r="C186">
            <v>215.4</v>
          </cell>
          <cell r="D186">
            <v>9.6999999999999993</v>
          </cell>
          <cell r="K186">
            <v>6.96</v>
          </cell>
          <cell r="L186">
            <v>0.48</v>
          </cell>
        </row>
        <row r="187">
          <cell r="A187">
            <v>5</v>
          </cell>
          <cell r="C187">
            <v>215.6</v>
          </cell>
          <cell r="D187">
            <v>9.5</v>
          </cell>
          <cell r="K187">
            <v>6.78</v>
          </cell>
          <cell r="L187">
            <v>0.69</v>
          </cell>
        </row>
        <row r="188">
          <cell r="C188">
            <v>215.8</v>
          </cell>
          <cell r="D188">
            <v>9.6999999999999993</v>
          </cell>
          <cell r="K188">
            <v>6.68</v>
          </cell>
          <cell r="L188">
            <v>0.87</v>
          </cell>
        </row>
        <row r="189">
          <cell r="C189">
            <v>215.4</v>
          </cell>
          <cell r="D189">
            <v>9.5</v>
          </cell>
          <cell r="K189">
            <v>6.81</v>
          </cell>
          <cell r="L189">
            <v>0.82</v>
          </cell>
        </row>
        <row r="190">
          <cell r="C190">
            <v>214</v>
          </cell>
          <cell r="D190">
            <v>10.8</v>
          </cell>
          <cell r="K190">
            <v>7.61</v>
          </cell>
          <cell r="L190">
            <v>0.9</v>
          </cell>
        </row>
        <row r="191">
          <cell r="C191">
            <v>214.1</v>
          </cell>
          <cell r="D191">
            <v>10.7</v>
          </cell>
          <cell r="K191">
            <v>7.52</v>
          </cell>
          <cell r="L191">
            <v>0.93</v>
          </cell>
        </row>
        <row r="192">
          <cell r="C192">
            <v>214.4</v>
          </cell>
          <cell r="D192">
            <v>10.8</v>
          </cell>
          <cell r="K192">
            <v>7.34</v>
          </cell>
          <cell r="L192">
            <v>0.99</v>
          </cell>
        </row>
        <row r="193">
          <cell r="C193">
            <v>216</v>
          </cell>
          <cell r="D193">
            <v>11.5</v>
          </cell>
          <cell r="K193">
            <v>7.13</v>
          </cell>
          <cell r="L193">
            <v>0.83</v>
          </cell>
        </row>
        <row r="194">
          <cell r="C194">
            <v>216.4</v>
          </cell>
          <cell r="D194">
            <v>11.8</v>
          </cell>
          <cell r="K194">
            <v>7.08</v>
          </cell>
          <cell r="L194">
            <v>0.81</v>
          </cell>
        </row>
        <row r="195">
          <cell r="C195">
            <v>225.5</v>
          </cell>
          <cell r="D195">
            <v>11.4</v>
          </cell>
          <cell r="K195">
            <v>6.94</v>
          </cell>
          <cell r="L195">
            <v>0.76</v>
          </cell>
        </row>
        <row r="196">
          <cell r="C196">
            <v>221.4</v>
          </cell>
          <cell r="D196">
            <v>9.5</v>
          </cell>
          <cell r="K196">
            <v>7.06</v>
          </cell>
          <cell r="L196">
            <v>0.8</v>
          </cell>
        </row>
        <row r="197">
          <cell r="C197">
            <v>221.3</v>
          </cell>
          <cell r="D197">
            <v>9.1</v>
          </cell>
          <cell r="K197">
            <v>7.48</v>
          </cell>
          <cell r="L197">
            <v>0.85</v>
          </cell>
        </row>
        <row r="198">
          <cell r="C198">
            <v>221.1</v>
          </cell>
          <cell r="D198">
            <v>9.1999999999999993</v>
          </cell>
          <cell r="K198">
            <v>7.49</v>
          </cell>
          <cell r="L198">
            <v>0.72</v>
          </cell>
        </row>
        <row r="199">
          <cell r="C199">
            <v>221.8</v>
          </cell>
          <cell r="D199">
            <v>9.3000000000000007</v>
          </cell>
          <cell r="K199">
            <v>7.4</v>
          </cell>
          <cell r="L199">
            <v>0.52</v>
          </cell>
        </row>
        <row r="200">
          <cell r="C200">
            <v>221.6</v>
          </cell>
          <cell r="D200">
            <v>9.8000000000000007</v>
          </cell>
          <cell r="K200">
            <v>7.23</v>
          </cell>
          <cell r="L200">
            <v>0.44</v>
          </cell>
        </row>
        <row r="201">
          <cell r="C201">
            <v>221.3</v>
          </cell>
          <cell r="D201">
            <v>9.8000000000000007</v>
          </cell>
          <cell r="K201">
            <v>7.53</v>
          </cell>
          <cell r="L201">
            <v>0.38</v>
          </cell>
        </row>
        <row r="202">
          <cell r="C202">
            <v>220.6</v>
          </cell>
          <cell r="D202">
            <v>9.1999999999999993</v>
          </cell>
          <cell r="K202">
            <v>7.92</v>
          </cell>
          <cell r="L202">
            <v>0.47</v>
          </cell>
        </row>
        <row r="203">
          <cell r="C203">
            <v>220.9</v>
          </cell>
          <cell r="D203">
            <v>9</v>
          </cell>
          <cell r="K203">
            <v>7.67</v>
          </cell>
          <cell r="L203">
            <v>0.69</v>
          </cell>
        </row>
        <row r="204">
          <cell r="C204">
            <v>221.7</v>
          </cell>
          <cell r="D204">
            <v>9.4</v>
          </cell>
          <cell r="K204">
            <v>7.41</v>
          </cell>
          <cell r="L204">
            <v>0.63</v>
          </cell>
        </row>
        <row r="205">
          <cell r="C205">
            <v>223.1</v>
          </cell>
          <cell r="D205">
            <v>10.199999999999999</v>
          </cell>
          <cell r="K205">
            <v>7.09</v>
          </cell>
          <cell r="L205">
            <v>0.56000000000000005</v>
          </cell>
        </row>
        <row r="206">
          <cell r="C206">
            <v>223.8</v>
          </cell>
          <cell r="D206">
            <v>11.1</v>
          </cell>
          <cell r="K206">
            <v>6.72</v>
          </cell>
          <cell r="L206">
            <v>0.17</v>
          </cell>
        </row>
        <row r="207">
          <cell r="C207">
            <v>222.8</v>
          </cell>
          <cell r="D207">
            <v>11</v>
          </cell>
          <cell r="K207">
            <v>6.75</v>
          </cell>
          <cell r="L207">
            <v>0.26</v>
          </cell>
        </row>
        <row r="208">
          <cell r="C208">
            <v>223.1</v>
          </cell>
          <cell r="D208">
            <v>10.3</v>
          </cell>
          <cell r="K208">
            <v>6.95</v>
          </cell>
          <cell r="L208">
            <v>0.52</v>
          </cell>
        </row>
        <row r="209">
          <cell r="C209">
            <v>223.1</v>
          </cell>
          <cell r="D209">
            <v>10.199999999999999</v>
          </cell>
          <cell r="K209">
            <v>6.91</v>
          </cell>
          <cell r="L209">
            <v>0.64</v>
          </cell>
        </row>
        <row r="210">
          <cell r="C210">
            <v>223.4</v>
          </cell>
          <cell r="D210">
            <v>10.4</v>
          </cell>
          <cell r="K210">
            <v>6.87</v>
          </cell>
          <cell r="L210">
            <v>0.5</v>
          </cell>
        </row>
        <row r="211">
          <cell r="C211">
            <v>223.4</v>
          </cell>
          <cell r="D211">
            <v>10.4</v>
          </cell>
          <cell r="K211">
            <v>6.86</v>
          </cell>
          <cell r="L211">
            <v>0.44</v>
          </cell>
        </row>
        <row r="212">
          <cell r="C212">
            <v>223.4</v>
          </cell>
          <cell r="D212">
            <v>10.6</v>
          </cell>
          <cell r="K212">
            <v>6.87</v>
          </cell>
          <cell r="L212">
            <v>0.31</v>
          </cell>
        </row>
        <row r="213">
          <cell r="C213">
            <v>222.3</v>
          </cell>
          <cell r="D213">
            <v>10.3</v>
          </cell>
          <cell r="K213">
            <v>7.05</v>
          </cell>
          <cell r="L213">
            <v>0.33</v>
          </cell>
        </row>
        <row r="214">
          <cell r="C214">
            <v>222.1</v>
          </cell>
          <cell r="D214">
            <v>9.8000000000000007</v>
          </cell>
          <cell r="K214">
            <v>7.39</v>
          </cell>
          <cell r="L214">
            <v>0.35</v>
          </cell>
        </row>
        <row r="215">
          <cell r="C215">
            <v>222.6</v>
          </cell>
          <cell r="D215">
            <v>9.4</v>
          </cell>
          <cell r="K215">
            <v>7.29</v>
          </cell>
          <cell r="L215">
            <v>0.57999999999999996</v>
          </cell>
        </row>
        <row r="216">
          <cell r="C216">
            <v>223</v>
          </cell>
          <cell r="D216">
            <v>9.4</v>
          </cell>
          <cell r="K216">
            <v>7.11</v>
          </cell>
          <cell r="L216">
            <v>0.6</v>
          </cell>
        </row>
        <row r="217">
          <cell r="C217">
            <v>223.4</v>
          </cell>
          <cell r="D217">
            <v>9.9</v>
          </cell>
          <cell r="K217">
            <v>7.05</v>
          </cell>
          <cell r="L217">
            <v>0.54</v>
          </cell>
        </row>
        <row r="218">
          <cell r="C218">
            <v>223.3</v>
          </cell>
          <cell r="D218">
            <v>10.199999999999999</v>
          </cell>
          <cell r="K218">
            <v>6.99</v>
          </cell>
          <cell r="L218">
            <v>0.41</v>
          </cell>
        </row>
        <row r="219">
          <cell r="C219">
            <v>223.8</v>
          </cell>
          <cell r="D219">
            <v>10.3</v>
          </cell>
          <cell r="K219">
            <v>7.04</v>
          </cell>
          <cell r="L219">
            <v>0.5</v>
          </cell>
        </row>
        <row r="220">
          <cell r="C220">
            <v>223.2</v>
          </cell>
          <cell r="D220">
            <v>10.199999999999999</v>
          </cell>
          <cell r="K220">
            <v>7.09</v>
          </cell>
          <cell r="L220">
            <v>0.28999999999999998</v>
          </cell>
        </row>
        <row r="221">
          <cell r="C221">
            <v>222.9</v>
          </cell>
          <cell r="D221">
            <v>9.9</v>
          </cell>
          <cell r="K221">
            <v>7.28</v>
          </cell>
          <cell r="L221">
            <v>0.42</v>
          </cell>
        </row>
        <row r="222">
          <cell r="C222">
            <v>223.3</v>
          </cell>
          <cell r="D222">
            <v>9.8000000000000007</v>
          </cell>
          <cell r="K222">
            <v>7.27</v>
          </cell>
          <cell r="L222">
            <v>0.61</v>
          </cell>
        </row>
        <row r="223">
          <cell r="C223">
            <v>223.8</v>
          </cell>
          <cell r="D223">
            <v>10</v>
          </cell>
          <cell r="K223">
            <v>7.29</v>
          </cell>
          <cell r="L223">
            <v>0.71</v>
          </cell>
        </row>
        <row r="224">
          <cell r="C224">
            <v>224</v>
          </cell>
          <cell r="D224">
            <v>10.5</v>
          </cell>
          <cell r="K224">
            <v>7.1</v>
          </cell>
          <cell r="L224">
            <v>0.34</v>
          </cell>
        </row>
        <row r="225">
          <cell r="C225">
            <v>222.8</v>
          </cell>
          <cell r="D225">
            <v>10.6</v>
          </cell>
          <cell r="K225">
            <v>7.33</v>
          </cell>
          <cell r="L225">
            <v>0.06</v>
          </cell>
        </row>
        <row r="226">
          <cell r="C226">
            <v>222.3</v>
          </cell>
          <cell r="D226">
            <v>9.6999999999999993</v>
          </cell>
          <cell r="K226">
            <v>7.86</v>
          </cell>
          <cell r="L226">
            <v>0.14000000000000001</v>
          </cell>
        </row>
        <row r="227">
          <cell r="C227">
            <v>222.9</v>
          </cell>
          <cell r="D227">
            <v>9.3000000000000007</v>
          </cell>
          <cell r="K227">
            <v>7.59</v>
          </cell>
          <cell r="L227">
            <v>0.45</v>
          </cell>
        </row>
        <row r="228">
          <cell r="C228">
            <v>223.8</v>
          </cell>
          <cell r="D228">
            <v>9.5</v>
          </cell>
          <cell r="K228">
            <v>7.1</v>
          </cell>
          <cell r="L228">
            <v>0.57999999999999996</v>
          </cell>
        </row>
        <row r="229">
          <cell r="C229">
            <v>224.4</v>
          </cell>
          <cell r="D229">
            <v>9.8000000000000007</v>
          </cell>
          <cell r="K229">
            <v>6.84</v>
          </cell>
          <cell r="L229">
            <v>0.52</v>
          </cell>
        </row>
        <row r="230">
          <cell r="C230">
            <v>225.2</v>
          </cell>
          <cell r="D230">
            <v>10.9</v>
          </cell>
          <cell r="L230">
            <v>0.28000000000000003</v>
          </cell>
        </row>
        <row r="231">
          <cell r="C231">
            <v>224.9</v>
          </cell>
          <cell r="D231">
            <v>10.9</v>
          </cell>
          <cell r="K231">
            <v>6.67</v>
          </cell>
          <cell r="L231">
            <v>-0.02</v>
          </cell>
        </row>
        <row r="232">
          <cell r="C232">
            <v>224.5</v>
          </cell>
          <cell r="D232">
            <v>10.6</v>
          </cell>
          <cell r="K232">
            <v>6.83</v>
          </cell>
          <cell r="L232">
            <v>0.18</v>
          </cell>
        </row>
        <row r="233">
          <cell r="C233">
            <v>224.3</v>
          </cell>
          <cell r="D233">
            <v>10.4</v>
          </cell>
          <cell r="K233">
            <v>6.96</v>
          </cell>
          <cell r="L233">
            <v>0.14000000000000001</v>
          </cell>
        </row>
        <row r="234">
          <cell r="C234">
            <v>224.5</v>
          </cell>
          <cell r="D234">
            <v>10.5</v>
          </cell>
          <cell r="K234">
            <v>6.9</v>
          </cell>
          <cell r="L234">
            <v>0.11</v>
          </cell>
        </row>
        <row r="235">
          <cell r="C235">
            <v>224.9</v>
          </cell>
          <cell r="D235">
            <v>10.3</v>
          </cell>
          <cell r="K235">
            <v>6.87</v>
          </cell>
          <cell r="L235">
            <v>0.3</v>
          </cell>
        </row>
        <row r="236">
          <cell r="C236">
            <v>225.3</v>
          </cell>
          <cell r="D236">
            <v>10.6</v>
          </cell>
          <cell r="K236">
            <v>6.57</v>
          </cell>
          <cell r="L236">
            <v>0.3</v>
          </cell>
        </row>
        <row r="237">
          <cell r="C237">
            <v>224.3</v>
          </cell>
          <cell r="D237">
            <v>10.7</v>
          </cell>
          <cell r="K237">
            <v>6.6</v>
          </cell>
          <cell r="L237">
            <v>0.19</v>
          </cell>
        </row>
        <row r="238">
          <cell r="C238">
            <v>224.5</v>
          </cell>
          <cell r="D238">
            <v>10.3</v>
          </cell>
          <cell r="K238">
            <v>7.05</v>
          </cell>
          <cell r="L238">
            <v>0.28999999999999998</v>
          </cell>
        </row>
        <row r="239">
          <cell r="C239">
            <v>224.6</v>
          </cell>
          <cell r="D239">
            <v>10</v>
          </cell>
          <cell r="K239">
            <v>6.97</v>
          </cell>
          <cell r="L239">
            <v>0.45</v>
          </cell>
        </row>
        <row r="240">
          <cell r="C240">
            <v>224.9</v>
          </cell>
          <cell r="D240">
            <v>9.9</v>
          </cell>
          <cell r="K240">
            <v>6.82</v>
          </cell>
          <cell r="L240">
            <v>0.56999999999999995</v>
          </cell>
        </row>
        <row r="241">
          <cell r="C241">
            <v>225.1</v>
          </cell>
          <cell r="D241">
            <v>10.199999999999999</v>
          </cell>
          <cell r="K241">
            <v>6.75</v>
          </cell>
          <cell r="L241">
            <v>0.44</v>
          </cell>
        </row>
        <row r="242">
          <cell r="C242">
            <v>224.5</v>
          </cell>
          <cell r="D242">
            <v>10.3</v>
          </cell>
          <cell r="K242">
            <v>7.13</v>
          </cell>
          <cell r="L242">
            <v>-0.06</v>
          </cell>
        </row>
        <row r="243">
          <cell r="C243">
            <v>224.2</v>
          </cell>
          <cell r="D243">
            <v>10.199999999999999</v>
          </cell>
          <cell r="K243">
            <v>7.17</v>
          </cell>
          <cell r="L243">
            <v>-0.31</v>
          </cell>
        </row>
        <row r="244">
          <cell r="C244">
            <v>224.1</v>
          </cell>
          <cell r="D244">
            <v>10.3</v>
          </cell>
          <cell r="K244">
            <v>7.36</v>
          </cell>
          <cell r="L244">
            <v>-0.35</v>
          </cell>
        </row>
        <row r="245">
          <cell r="C245">
            <v>223.7</v>
          </cell>
          <cell r="D245">
            <v>9.6999999999999993</v>
          </cell>
          <cell r="K245">
            <v>7.49</v>
          </cell>
          <cell r="L245">
            <v>-7.0000000000000007E-2</v>
          </cell>
        </row>
        <row r="246">
          <cell r="C246">
            <v>223.9</v>
          </cell>
          <cell r="D246">
            <v>9.6999999999999993</v>
          </cell>
          <cell r="K246">
            <v>7.6</v>
          </cell>
          <cell r="L246">
            <v>-0.12</v>
          </cell>
        </row>
        <row r="247">
          <cell r="A247">
            <v>10</v>
          </cell>
          <cell r="C247">
            <v>224.7</v>
          </cell>
          <cell r="D247">
            <v>10.199999999999999</v>
          </cell>
          <cell r="K247">
            <v>7.35</v>
          </cell>
          <cell r="L247">
            <v>-0.24</v>
          </cell>
        </row>
        <row r="248">
          <cell r="C248">
            <v>225</v>
          </cell>
          <cell r="D248">
            <v>10.7</v>
          </cell>
          <cell r="K248">
            <v>7.06</v>
          </cell>
          <cell r="L248">
            <v>-0.5</v>
          </cell>
        </row>
        <row r="249">
          <cell r="C249">
            <v>223.9</v>
          </cell>
          <cell r="D249">
            <v>10.3</v>
          </cell>
          <cell r="K249">
            <v>7.32</v>
          </cell>
          <cell r="L249">
            <v>-0.42</v>
          </cell>
        </row>
        <row r="250">
          <cell r="C250">
            <v>224.2</v>
          </cell>
          <cell r="D250">
            <v>10</v>
          </cell>
          <cell r="K250">
            <v>7.57</v>
          </cell>
          <cell r="L250">
            <v>-0.21</v>
          </cell>
        </row>
        <row r="251">
          <cell r="C251">
            <v>224.5</v>
          </cell>
          <cell r="D251">
            <v>9.9</v>
          </cell>
          <cell r="K251">
            <v>7.33</v>
          </cell>
          <cell r="L251">
            <v>-0.02</v>
          </cell>
        </row>
        <row r="252">
          <cell r="C252">
            <v>225</v>
          </cell>
          <cell r="D252">
            <v>10.3</v>
          </cell>
          <cell r="K252">
            <v>7</v>
          </cell>
          <cell r="L252">
            <v>0.02</v>
          </cell>
        </row>
        <row r="253">
          <cell r="C253">
            <v>226.1</v>
          </cell>
          <cell r="D253">
            <v>11.1</v>
          </cell>
          <cell r="K253">
            <v>6.68</v>
          </cell>
          <cell r="L253">
            <v>-0.03</v>
          </cell>
        </row>
        <row r="254">
          <cell r="C254">
            <v>226.4</v>
          </cell>
          <cell r="D254">
            <v>11.4</v>
          </cell>
          <cell r="K254">
            <v>6.47</v>
          </cell>
          <cell r="L254">
            <v>-0.06</v>
          </cell>
        </row>
        <row r="255">
          <cell r="C255">
            <v>226.1</v>
          </cell>
          <cell r="D255">
            <v>11.4</v>
          </cell>
          <cell r="K255">
            <v>6.55</v>
          </cell>
          <cell r="L255">
            <v>-0.02</v>
          </cell>
        </row>
        <row r="256">
          <cell r="C256">
            <v>226.2</v>
          </cell>
          <cell r="D256">
            <v>11.3</v>
          </cell>
          <cell r="K256">
            <v>6.74</v>
          </cell>
          <cell r="L256">
            <v>0.01</v>
          </cell>
        </row>
        <row r="257">
          <cell r="C257">
            <v>226</v>
          </cell>
          <cell r="D257">
            <v>11.2</v>
          </cell>
          <cell r="K257">
            <v>6.81</v>
          </cell>
          <cell r="L257">
            <v>0.06</v>
          </cell>
        </row>
        <row r="258">
          <cell r="C258">
            <v>226.2</v>
          </cell>
          <cell r="D258">
            <v>11.6</v>
          </cell>
          <cell r="K258">
            <v>6.74</v>
          </cell>
          <cell r="L258">
            <v>-0.28999999999999998</v>
          </cell>
        </row>
        <row r="259">
          <cell r="C259">
            <v>226.6</v>
          </cell>
          <cell r="D259">
            <v>11.8</v>
          </cell>
          <cell r="K259">
            <v>6.64</v>
          </cell>
          <cell r="L259">
            <v>-0.21</v>
          </cell>
        </row>
        <row r="260">
          <cell r="C260">
            <v>226.9</v>
          </cell>
          <cell r="D260">
            <v>12.1</v>
          </cell>
          <cell r="K260">
            <v>6.51</v>
          </cell>
          <cell r="L260">
            <v>-0.42</v>
          </cell>
        </row>
        <row r="261">
          <cell r="C261">
            <v>226.2</v>
          </cell>
          <cell r="D261">
            <v>12.1</v>
          </cell>
          <cell r="K261">
            <v>6.64</v>
          </cell>
          <cell r="L261">
            <v>-0.52</v>
          </cell>
        </row>
        <row r="262">
          <cell r="C262">
            <v>225.7</v>
          </cell>
          <cell r="D262">
            <v>11.5</v>
          </cell>
          <cell r="K262">
            <v>7.13</v>
          </cell>
          <cell r="L262">
            <v>-0.34</v>
          </cell>
        </row>
        <row r="263">
          <cell r="C263">
            <v>225.9</v>
          </cell>
          <cell r="D263">
            <v>11.2</v>
          </cell>
          <cell r="K263">
            <v>7.03</v>
          </cell>
          <cell r="L263">
            <v>-7.0000000000000007E-2</v>
          </cell>
        </row>
        <row r="264">
          <cell r="C264">
            <v>226.6</v>
          </cell>
          <cell r="D264">
            <v>11.2</v>
          </cell>
          <cell r="K264">
            <v>6.82</v>
          </cell>
          <cell r="L264">
            <v>-0.04</v>
          </cell>
        </row>
        <row r="265">
          <cell r="C265">
            <v>226.5</v>
          </cell>
          <cell r="D265">
            <v>11.5</v>
          </cell>
          <cell r="K265">
            <v>6.78</v>
          </cell>
          <cell r="L265">
            <v>-0.13</v>
          </cell>
        </row>
      </sheetData>
      <sheetData sheetId="1">
        <row r="7">
          <cell r="C7">
            <v>0</v>
          </cell>
          <cell r="D7">
            <v>0</v>
          </cell>
          <cell r="L7">
            <v>0.51</v>
          </cell>
        </row>
        <row r="8">
          <cell r="C8">
            <v>4.9000000000000004</v>
          </cell>
          <cell r="D8">
            <v>-0.5</v>
          </cell>
          <cell r="L8">
            <v>0.44</v>
          </cell>
        </row>
        <row r="9">
          <cell r="C9">
            <v>5.6</v>
          </cell>
          <cell r="D9">
            <v>-0.6</v>
          </cell>
          <cell r="L9">
            <v>0.44</v>
          </cell>
        </row>
        <row r="10">
          <cell r="C10">
            <v>6.4</v>
          </cell>
          <cell r="D10">
            <v>-1</v>
          </cell>
          <cell r="L10">
            <v>0.34</v>
          </cell>
        </row>
        <row r="11">
          <cell r="C11">
            <v>8.1999999999999993</v>
          </cell>
          <cell r="D11">
            <v>-1.5</v>
          </cell>
          <cell r="L11">
            <v>0.34</v>
          </cell>
        </row>
        <row r="12">
          <cell r="C12">
            <v>11</v>
          </cell>
          <cell r="D12">
            <v>-2.1</v>
          </cell>
          <cell r="L12">
            <v>0.38</v>
          </cell>
        </row>
        <row r="13">
          <cell r="C13">
            <v>16.8</v>
          </cell>
          <cell r="D13">
            <v>3.1</v>
          </cell>
          <cell r="L13">
            <v>-0.2</v>
          </cell>
        </row>
        <row r="14">
          <cell r="C14">
            <v>24.8</v>
          </cell>
          <cell r="D14">
            <v>3.5</v>
          </cell>
          <cell r="L14">
            <v>-1.41</v>
          </cell>
        </row>
        <row r="15">
          <cell r="C15">
            <v>28.4</v>
          </cell>
          <cell r="D15">
            <v>3.7</v>
          </cell>
          <cell r="L15">
            <v>-1.68</v>
          </cell>
        </row>
        <row r="16">
          <cell r="C16">
            <v>29.2</v>
          </cell>
          <cell r="D16">
            <v>2.7</v>
          </cell>
          <cell r="L16">
            <v>-1.1499999999999999</v>
          </cell>
        </row>
        <row r="17">
          <cell r="C17">
            <v>30.6</v>
          </cell>
          <cell r="D17">
            <v>2.5</v>
          </cell>
          <cell r="L17">
            <v>-0.88</v>
          </cell>
        </row>
        <row r="18">
          <cell r="C18">
            <v>32.200000000000003</v>
          </cell>
          <cell r="D18">
            <v>2.2999999999999998</v>
          </cell>
          <cell r="L18">
            <v>-0.79</v>
          </cell>
        </row>
        <row r="19">
          <cell r="C19">
            <v>33.6</v>
          </cell>
          <cell r="D19">
            <v>1.9</v>
          </cell>
          <cell r="L19">
            <v>-0.69</v>
          </cell>
        </row>
        <row r="20">
          <cell r="C20">
            <v>34.799999999999997</v>
          </cell>
          <cell r="D20">
            <v>0.3</v>
          </cell>
          <cell r="L20">
            <v>-0.46</v>
          </cell>
        </row>
        <row r="21">
          <cell r="C21">
            <v>35.200000000000003</v>
          </cell>
          <cell r="D21">
            <v>0.1</v>
          </cell>
          <cell r="L21">
            <v>0.17</v>
          </cell>
        </row>
        <row r="22">
          <cell r="C22">
            <v>35</v>
          </cell>
          <cell r="D22">
            <v>-1.3</v>
          </cell>
          <cell r="L22">
            <v>0.37</v>
          </cell>
        </row>
        <row r="23">
          <cell r="C23">
            <v>36</v>
          </cell>
          <cell r="D23">
            <v>-2.2999999999999998</v>
          </cell>
          <cell r="L23">
            <v>0.66</v>
          </cell>
        </row>
        <row r="24">
          <cell r="C24">
            <v>37</v>
          </cell>
          <cell r="D24">
            <v>-2.2999999999999998</v>
          </cell>
          <cell r="L24">
            <v>0.76</v>
          </cell>
        </row>
        <row r="25">
          <cell r="C25">
            <v>38.4</v>
          </cell>
          <cell r="D25">
            <v>-2.7</v>
          </cell>
          <cell r="L25">
            <v>0.96</v>
          </cell>
        </row>
        <row r="26">
          <cell r="C26">
            <v>39</v>
          </cell>
          <cell r="D26">
            <v>-2.9</v>
          </cell>
          <cell r="L26">
            <v>1.1100000000000001</v>
          </cell>
        </row>
        <row r="27">
          <cell r="C27">
            <v>40.200000000000003</v>
          </cell>
          <cell r="D27">
            <v>-3.1</v>
          </cell>
          <cell r="L27">
            <v>1.26</v>
          </cell>
        </row>
        <row r="28">
          <cell r="C28">
            <v>40</v>
          </cell>
          <cell r="D28">
            <v>-3.3</v>
          </cell>
          <cell r="L28">
            <v>1.39</v>
          </cell>
        </row>
        <row r="29">
          <cell r="C29">
            <v>40.6</v>
          </cell>
          <cell r="D29">
            <v>-3.7</v>
          </cell>
          <cell r="L29">
            <v>1.58</v>
          </cell>
        </row>
        <row r="30">
          <cell r="C30">
            <v>41</v>
          </cell>
          <cell r="D30">
            <v>-3.7</v>
          </cell>
          <cell r="L30">
            <v>1.78</v>
          </cell>
        </row>
        <row r="31">
          <cell r="C31">
            <v>42.4</v>
          </cell>
          <cell r="D31">
            <v>-3.7</v>
          </cell>
          <cell r="L31">
            <v>1.81</v>
          </cell>
        </row>
        <row r="32">
          <cell r="C32">
            <v>43.6</v>
          </cell>
          <cell r="D32">
            <v>-3.5</v>
          </cell>
          <cell r="L32">
            <v>1.71</v>
          </cell>
        </row>
        <row r="33">
          <cell r="C33">
            <v>44</v>
          </cell>
          <cell r="D33">
            <v>-3.1</v>
          </cell>
          <cell r="L33">
            <v>1.75</v>
          </cell>
        </row>
        <row r="34">
          <cell r="C34">
            <v>43.4</v>
          </cell>
          <cell r="D34">
            <v>-3.9</v>
          </cell>
          <cell r="L34">
            <v>1.81</v>
          </cell>
        </row>
        <row r="35">
          <cell r="C35">
            <v>43.6</v>
          </cell>
          <cell r="D35">
            <v>-4.3</v>
          </cell>
          <cell r="L35">
            <v>1.88</v>
          </cell>
        </row>
        <row r="36">
          <cell r="C36">
            <v>44.2</v>
          </cell>
          <cell r="D36">
            <v>-4.5</v>
          </cell>
          <cell r="L36">
            <v>2.0099999999999998</v>
          </cell>
        </row>
        <row r="37">
          <cell r="C37">
            <v>45</v>
          </cell>
          <cell r="D37">
            <v>-4.7</v>
          </cell>
          <cell r="L37">
            <v>2.0499999999999998</v>
          </cell>
        </row>
        <row r="38">
          <cell r="C38">
            <v>44.6</v>
          </cell>
          <cell r="D38">
            <v>-5.3</v>
          </cell>
          <cell r="L38">
            <v>2.2799999999999998</v>
          </cell>
        </row>
        <row r="39">
          <cell r="C39">
            <v>45.2</v>
          </cell>
          <cell r="D39">
            <v>-5.0999999999999996</v>
          </cell>
          <cell r="L39">
            <v>2.23</v>
          </cell>
        </row>
        <row r="40">
          <cell r="C40">
            <v>45.6</v>
          </cell>
          <cell r="D40">
            <v>-5.0999999999999996</v>
          </cell>
          <cell r="L40">
            <v>2.2200000000000002</v>
          </cell>
        </row>
        <row r="41">
          <cell r="C41">
            <v>46</v>
          </cell>
          <cell r="D41">
            <v>-4.9000000000000004</v>
          </cell>
          <cell r="L41">
            <v>2.2599999999999998</v>
          </cell>
        </row>
        <row r="42">
          <cell r="C42">
            <v>46.8</v>
          </cell>
          <cell r="D42">
            <v>-4.5</v>
          </cell>
          <cell r="L42">
            <v>2.19</v>
          </cell>
        </row>
        <row r="43">
          <cell r="C43">
            <v>47.6</v>
          </cell>
          <cell r="D43">
            <v>-4.5</v>
          </cell>
          <cell r="L43">
            <v>2.27</v>
          </cell>
        </row>
        <row r="44">
          <cell r="C44">
            <v>48.6</v>
          </cell>
          <cell r="D44">
            <v>-3.9</v>
          </cell>
          <cell r="L44">
            <v>2.17</v>
          </cell>
        </row>
        <row r="45">
          <cell r="C45">
            <v>54.4</v>
          </cell>
          <cell r="D45">
            <v>-4.5</v>
          </cell>
          <cell r="L45">
            <v>1.99</v>
          </cell>
        </row>
        <row r="46">
          <cell r="C46">
            <v>54.6</v>
          </cell>
          <cell r="D46">
            <v>-5.5</v>
          </cell>
          <cell r="L46">
            <v>2.13</v>
          </cell>
        </row>
        <row r="47">
          <cell r="C47">
            <v>55.6</v>
          </cell>
          <cell r="D47">
            <v>-6.1</v>
          </cell>
          <cell r="L47">
            <v>2.4700000000000002</v>
          </cell>
        </row>
        <row r="48">
          <cell r="C48">
            <v>56.6</v>
          </cell>
          <cell r="D48">
            <v>-6.3</v>
          </cell>
          <cell r="L48">
            <v>2.61</v>
          </cell>
        </row>
        <row r="49">
          <cell r="C49">
            <v>59.2</v>
          </cell>
          <cell r="D49">
            <v>-4.9000000000000004</v>
          </cell>
          <cell r="L49">
            <v>2.39</v>
          </cell>
        </row>
        <row r="50">
          <cell r="C50">
            <v>62</v>
          </cell>
          <cell r="D50">
            <v>-3.7</v>
          </cell>
          <cell r="L50">
            <v>1.53</v>
          </cell>
        </row>
        <row r="51">
          <cell r="C51">
            <v>63</v>
          </cell>
          <cell r="D51">
            <v>-2.9</v>
          </cell>
          <cell r="L51">
            <v>1.23</v>
          </cell>
        </row>
        <row r="52">
          <cell r="C52">
            <v>63.4</v>
          </cell>
          <cell r="D52">
            <v>-3.3</v>
          </cell>
          <cell r="L52">
            <v>1.32</v>
          </cell>
        </row>
        <row r="53">
          <cell r="C53">
            <v>63</v>
          </cell>
          <cell r="D53">
            <v>-3.5</v>
          </cell>
          <cell r="L53">
            <v>1.59</v>
          </cell>
        </row>
        <row r="54">
          <cell r="C54">
            <v>63</v>
          </cell>
          <cell r="D54">
            <v>-5.0999999999999996</v>
          </cell>
          <cell r="L54">
            <v>1.98</v>
          </cell>
        </row>
        <row r="55">
          <cell r="C55">
            <v>63.4</v>
          </cell>
          <cell r="D55">
            <v>-5.5</v>
          </cell>
          <cell r="L55">
            <v>2.4500000000000002</v>
          </cell>
        </row>
        <row r="56">
          <cell r="C56">
            <v>64.400000000000006</v>
          </cell>
          <cell r="D56">
            <v>-5.0999999999999996</v>
          </cell>
          <cell r="L56">
            <v>2.42</v>
          </cell>
        </row>
        <row r="57">
          <cell r="C57">
            <v>64.599999999999994</v>
          </cell>
          <cell r="D57">
            <v>-4.7</v>
          </cell>
          <cell r="L57">
            <v>2.2999999999999998</v>
          </cell>
        </row>
        <row r="58">
          <cell r="C58">
            <v>64.599999999999994</v>
          </cell>
          <cell r="D58">
            <v>-5.5</v>
          </cell>
          <cell r="L58">
            <v>2.37</v>
          </cell>
        </row>
        <row r="59">
          <cell r="C59">
            <v>64.8</v>
          </cell>
          <cell r="D59">
            <v>-5.9</v>
          </cell>
          <cell r="L59">
            <v>2.58</v>
          </cell>
        </row>
        <row r="60">
          <cell r="C60">
            <v>65</v>
          </cell>
          <cell r="D60">
            <v>-6.1</v>
          </cell>
          <cell r="L60">
            <v>2.66</v>
          </cell>
        </row>
        <row r="61">
          <cell r="C61">
            <v>65.599999999999994</v>
          </cell>
          <cell r="D61">
            <v>-6.3</v>
          </cell>
          <cell r="L61">
            <v>2.64</v>
          </cell>
        </row>
        <row r="62">
          <cell r="C62">
            <v>66</v>
          </cell>
          <cell r="D62">
            <v>-6.1</v>
          </cell>
          <cell r="L62">
            <v>2.63</v>
          </cell>
        </row>
        <row r="63">
          <cell r="C63">
            <v>66.2</v>
          </cell>
          <cell r="D63">
            <v>-6.3</v>
          </cell>
          <cell r="L63">
            <v>2.69</v>
          </cell>
        </row>
        <row r="64">
          <cell r="C64">
            <v>66.2</v>
          </cell>
          <cell r="D64">
            <v>-6.5</v>
          </cell>
          <cell r="L64">
            <v>2.73</v>
          </cell>
        </row>
        <row r="65">
          <cell r="C65">
            <v>66</v>
          </cell>
          <cell r="D65">
            <v>-6.5</v>
          </cell>
          <cell r="L65">
            <v>2.78</v>
          </cell>
        </row>
        <row r="66">
          <cell r="C66">
            <v>66.8</v>
          </cell>
          <cell r="D66">
            <v>-6.7</v>
          </cell>
          <cell r="L66">
            <v>2.71</v>
          </cell>
        </row>
        <row r="67">
          <cell r="C67">
            <v>68</v>
          </cell>
          <cell r="D67">
            <v>-6.3</v>
          </cell>
          <cell r="L67">
            <v>2.61</v>
          </cell>
        </row>
        <row r="68">
          <cell r="C68">
            <v>68.8</v>
          </cell>
          <cell r="D68">
            <v>-5.9</v>
          </cell>
          <cell r="L68">
            <v>2.39</v>
          </cell>
        </row>
        <row r="69">
          <cell r="C69">
            <v>69.400000000000006</v>
          </cell>
          <cell r="D69">
            <v>-5.5</v>
          </cell>
          <cell r="L69">
            <v>2.3199999999999998</v>
          </cell>
        </row>
        <row r="70">
          <cell r="C70">
            <v>68.8</v>
          </cell>
          <cell r="D70">
            <v>-5.7</v>
          </cell>
          <cell r="L70">
            <v>2.2799999999999998</v>
          </cell>
        </row>
        <row r="71">
          <cell r="C71">
            <v>69.599999999999994</v>
          </cell>
          <cell r="D71">
            <v>-5.9</v>
          </cell>
          <cell r="L71">
            <v>2.2799999999999998</v>
          </cell>
        </row>
        <row r="72">
          <cell r="C72">
            <v>71.8</v>
          </cell>
          <cell r="D72">
            <v>-6.1</v>
          </cell>
          <cell r="L72">
            <v>2.04</v>
          </cell>
        </row>
        <row r="73">
          <cell r="C73">
            <v>74.400000000000006</v>
          </cell>
          <cell r="D73">
            <v>-6.3</v>
          </cell>
          <cell r="L73">
            <v>1.8</v>
          </cell>
        </row>
        <row r="74">
          <cell r="C74">
            <v>77.400000000000006</v>
          </cell>
          <cell r="D74">
            <v>-5.5</v>
          </cell>
          <cell r="L74">
            <v>1.5</v>
          </cell>
        </row>
        <row r="75">
          <cell r="C75">
            <v>81</v>
          </cell>
          <cell r="D75">
            <v>-5.9</v>
          </cell>
          <cell r="L75">
            <v>1.24</v>
          </cell>
        </row>
        <row r="76">
          <cell r="C76">
            <v>83.8</v>
          </cell>
          <cell r="D76">
            <v>-6.1</v>
          </cell>
          <cell r="L76">
            <v>1.03</v>
          </cell>
        </row>
        <row r="77">
          <cell r="C77">
            <v>84.6</v>
          </cell>
          <cell r="D77">
            <v>-5.3</v>
          </cell>
          <cell r="L77">
            <v>0.9</v>
          </cell>
        </row>
        <row r="78">
          <cell r="C78">
            <v>86.6</v>
          </cell>
          <cell r="D78">
            <v>-5.3</v>
          </cell>
          <cell r="L78">
            <v>0.79</v>
          </cell>
        </row>
        <row r="79">
          <cell r="C79">
            <v>89.4</v>
          </cell>
          <cell r="D79">
            <v>-4.9000000000000004</v>
          </cell>
          <cell r="L79">
            <v>0.76</v>
          </cell>
        </row>
        <row r="80">
          <cell r="C80">
            <v>92</v>
          </cell>
          <cell r="D80">
            <v>-4.3</v>
          </cell>
          <cell r="L80">
            <v>0.71</v>
          </cell>
        </row>
        <row r="81">
          <cell r="C81">
            <v>93.8</v>
          </cell>
          <cell r="D81">
            <v>-3.9</v>
          </cell>
          <cell r="L81">
            <v>0.56999999999999995</v>
          </cell>
        </row>
        <row r="82">
          <cell r="C82">
            <v>95.4</v>
          </cell>
          <cell r="D82">
            <v>-4.0999999999999996</v>
          </cell>
          <cell r="L82">
            <v>0.45</v>
          </cell>
        </row>
        <row r="83">
          <cell r="C83">
            <v>98.2</v>
          </cell>
          <cell r="D83">
            <v>-4.0999999999999996</v>
          </cell>
          <cell r="L83">
            <v>0.45</v>
          </cell>
        </row>
        <row r="84">
          <cell r="C84">
            <v>101.8</v>
          </cell>
          <cell r="D84">
            <v>-4.5</v>
          </cell>
          <cell r="L84">
            <v>0.28000000000000003</v>
          </cell>
        </row>
        <row r="85">
          <cell r="C85">
            <v>103.8</v>
          </cell>
          <cell r="D85">
            <v>-4.5</v>
          </cell>
          <cell r="L85">
            <v>0.28000000000000003</v>
          </cell>
        </row>
        <row r="86">
          <cell r="C86">
            <v>107.8</v>
          </cell>
          <cell r="D86">
            <v>-4.9000000000000004</v>
          </cell>
          <cell r="L86">
            <v>0.08</v>
          </cell>
        </row>
        <row r="87">
          <cell r="C87">
            <v>109.6</v>
          </cell>
          <cell r="D87">
            <v>-4.7</v>
          </cell>
          <cell r="L87">
            <v>0.08</v>
          </cell>
        </row>
        <row r="88">
          <cell r="C88">
            <v>111.8</v>
          </cell>
          <cell r="D88">
            <v>-4.9000000000000004</v>
          </cell>
          <cell r="L88">
            <v>0.12</v>
          </cell>
        </row>
        <row r="89">
          <cell r="C89">
            <v>114</v>
          </cell>
          <cell r="D89">
            <v>-5.3</v>
          </cell>
          <cell r="L89">
            <v>0.35</v>
          </cell>
        </row>
        <row r="90">
          <cell r="C90">
            <v>116.4</v>
          </cell>
          <cell r="D90">
            <v>-4.9000000000000004</v>
          </cell>
          <cell r="L90">
            <v>0.4</v>
          </cell>
        </row>
        <row r="91">
          <cell r="C91">
            <v>118.8</v>
          </cell>
          <cell r="D91">
            <v>-4.3</v>
          </cell>
          <cell r="L91">
            <v>0.38</v>
          </cell>
        </row>
        <row r="92">
          <cell r="C92">
            <v>122.2</v>
          </cell>
          <cell r="D92">
            <v>-4.5</v>
          </cell>
          <cell r="L92">
            <v>0.22</v>
          </cell>
        </row>
        <row r="93">
          <cell r="C93">
            <v>123.2</v>
          </cell>
          <cell r="D93">
            <v>-4.0999999999999996</v>
          </cell>
          <cell r="L93">
            <v>0.28000000000000003</v>
          </cell>
        </row>
        <row r="94">
          <cell r="C94">
            <v>123.2</v>
          </cell>
          <cell r="D94">
            <v>-4.9000000000000004</v>
          </cell>
          <cell r="L94">
            <v>0.43</v>
          </cell>
        </row>
        <row r="95">
          <cell r="C95">
            <v>124.8</v>
          </cell>
          <cell r="D95">
            <v>-5.9</v>
          </cell>
          <cell r="L95">
            <v>0.74</v>
          </cell>
        </row>
        <row r="96">
          <cell r="C96">
            <v>127.8</v>
          </cell>
          <cell r="D96">
            <v>-6.7</v>
          </cell>
        </row>
        <row r="97">
          <cell r="C97">
            <v>130</v>
          </cell>
          <cell r="D97">
            <v>-7.1</v>
          </cell>
          <cell r="L97">
            <v>0.83</v>
          </cell>
        </row>
        <row r="98">
          <cell r="C98">
            <v>132</v>
          </cell>
          <cell r="D98">
            <v>-7.5</v>
          </cell>
          <cell r="L98">
            <v>0.8</v>
          </cell>
        </row>
        <row r="99">
          <cell r="C99">
            <v>132.6</v>
          </cell>
          <cell r="D99">
            <v>-7.7</v>
          </cell>
          <cell r="L99">
            <v>1.91</v>
          </cell>
        </row>
        <row r="100">
          <cell r="C100">
            <v>132.80000000000001</v>
          </cell>
          <cell r="D100">
            <v>-7.7</v>
          </cell>
          <cell r="L100">
            <v>1.04</v>
          </cell>
        </row>
        <row r="101">
          <cell r="C101">
            <v>133.4</v>
          </cell>
          <cell r="D101">
            <v>-8.1</v>
          </cell>
          <cell r="L101">
            <v>1.3</v>
          </cell>
        </row>
        <row r="102">
          <cell r="C102">
            <v>134.4</v>
          </cell>
          <cell r="D102">
            <v>-8.1</v>
          </cell>
          <cell r="L102">
            <v>1.38</v>
          </cell>
        </row>
        <row r="103">
          <cell r="C103">
            <v>137</v>
          </cell>
          <cell r="D103">
            <v>-8.1</v>
          </cell>
          <cell r="L103">
            <v>1.37</v>
          </cell>
        </row>
        <row r="104">
          <cell r="C104">
            <v>139.4</v>
          </cell>
          <cell r="D104">
            <v>-8.6999999999999993</v>
          </cell>
          <cell r="L104">
            <v>1.28</v>
          </cell>
        </row>
        <row r="105">
          <cell r="C105">
            <v>139.6</v>
          </cell>
          <cell r="D105">
            <v>-8.9</v>
          </cell>
          <cell r="L105">
            <v>1.28</v>
          </cell>
        </row>
        <row r="106">
          <cell r="C106">
            <v>138.80000000000001</v>
          </cell>
          <cell r="D106">
            <v>-8.9</v>
          </cell>
          <cell r="L106">
            <v>1.28</v>
          </cell>
        </row>
        <row r="107">
          <cell r="C107">
            <v>139.6</v>
          </cell>
          <cell r="D107">
            <v>-9.5</v>
          </cell>
          <cell r="L107">
            <v>1.37</v>
          </cell>
        </row>
        <row r="108">
          <cell r="C108">
            <v>141</v>
          </cell>
          <cell r="D108">
            <v>-9.6999999999999993</v>
          </cell>
          <cell r="L108">
            <v>1.32</v>
          </cell>
        </row>
        <row r="109">
          <cell r="C109">
            <v>142.80000000000001</v>
          </cell>
          <cell r="D109">
            <v>-10.3</v>
          </cell>
          <cell r="L109">
            <v>1.2</v>
          </cell>
        </row>
        <row r="110">
          <cell r="C110">
            <v>143.4</v>
          </cell>
          <cell r="D110">
            <v>-10.7</v>
          </cell>
          <cell r="L110">
            <v>1.17</v>
          </cell>
        </row>
        <row r="111">
          <cell r="C111">
            <v>144.80000000000001</v>
          </cell>
          <cell r="D111">
            <v>-10.9</v>
          </cell>
          <cell r="L111">
            <v>1.17</v>
          </cell>
        </row>
        <row r="112">
          <cell r="C112">
            <v>145.80000000000001</v>
          </cell>
          <cell r="D112">
            <v>-11.1</v>
          </cell>
          <cell r="L112">
            <v>1.34</v>
          </cell>
        </row>
        <row r="113">
          <cell r="C113">
            <v>146.4</v>
          </cell>
          <cell r="D113">
            <v>-11.5</v>
          </cell>
          <cell r="L113">
            <v>1.55</v>
          </cell>
        </row>
        <row r="114">
          <cell r="C114">
            <v>147</v>
          </cell>
          <cell r="D114">
            <v>-11.7</v>
          </cell>
          <cell r="L114">
            <v>1.1599999999999999</v>
          </cell>
        </row>
        <row r="115">
          <cell r="C115">
            <v>147.19999999999999</v>
          </cell>
          <cell r="D115">
            <v>-11.5</v>
          </cell>
          <cell r="L115">
            <v>1.86</v>
          </cell>
        </row>
        <row r="116">
          <cell r="C116">
            <v>149.19999999999999</v>
          </cell>
          <cell r="D116">
            <v>-11.7</v>
          </cell>
          <cell r="L116">
            <v>1.93</v>
          </cell>
        </row>
        <row r="117">
          <cell r="C117">
            <v>149.19999999999999</v>
          </cell>
          <cell r="D117">
            <v>-11.9</v>
          </cell>
          <cell r="L117">
            <v>1.93</v>
          </cell>
        </row>
        <row r="118">
          <cell r="C118">
            <v>148.6</v>
          </cell>
          <cell r="D118">
            <v>-12.7</v>
          </cell>
          <cell r="L118">
            <v>2.0299999999999998</v>
          </cell>
        </row>
        <row r="119">
          <cell r="C119">
            <v>149.19999999999999</v>
          </cell>
          <cell r="D119">
            <v>-13.3</v>
          </cell>
          <cell r="L119">
            <v>2.23</v>
          </cell>
        </row>
        <row r="120">
          <cell r="C120">
            <v>150</v>
          </cell>
          <cell r="D120">
            <v>-13.9</v>
          </cell>
          <cell r="L120">
            <v>2.2599999999999998</v>
          </cell>
        </row>
        <row r="121">
          <cell r="C121">
            <v>151.4</v>
          </cell>
          <cell r="D121">
            <v>-14.3</v>
          </cell>
          <cell r="L121">
            <v>2.12</v>
          </cell>
        </row>
        <row r="122">
          <cell r="C122">
            <v>152</v>
          </cell>
          <cell r="D122">
            <v>-14.3</v>
          </cell>
          <cell r="L122">
            <v>1.99</v>
          </cell>
        </row>
        <row r="123">
          <cell r="C123">
            <v>152.4</v>
          </cell>
          <cell r="D123">
            <v>-14.3</v>
          </cell>
          <cell r="L123">
            <v>2.11</v>
          </cell>
        </row>
        <row r="124">
          <cell r="C124">
            <v>153.19999999999999</v>
          </cell>
          <cell r="D124">
            <v>-14.3</v>
          </cell>
        </row>
        <row r="125">
          <cell r="C125">
            <v>152.6</v>
          </cell>
          <cell r="D125">
            <v>-14.3</v>
          </cell>
          <cell r="L125">
            <v>2.2799999999999998</v>
          </cell>
        </row>
        <row r="126">
          <cell r="C126">
            <v>153.19999999999999</v>
          </cell>
          <cell r="D126">
            <v>-14.3</v>
          </cell>
          <cell r="L126">
            <v>2.4500000000000002</v>
          </cell>
        </row>
        <row r="127">
          <cell r="C127">
            <v>154</v>
          </cell>
          <cell r="D127">
            <v>-14.1</v>
          </cell>
          <cell r="L127">
            <v>2.54</v>
          </cell>
        </row>
        <row r="128">
          <cell r="C128">
            <v>155</v>
          </cell>
          <cell r="D128">
            <v>-14.3</v>
          </cell>
          <cell r="L128">
            <v>2.5099999999999998</v>
          </cell>
        </row>
        <row r="129">
          <cell r="C129">
            <v>154</v>
          </cell>
          <cell r="D129">
            <v>-14.5</v>
          </cell>
          <cell r="L129">
            <v>2.5499999999999998</v>
          </cell>
        </row>
        <row r="130">
          <cell r="C130">
            <v>154.4</v>
          </cell>
          <cell r="D130">
            <v>-14.5</v>
          </cell>
          <cell r="L130">
            <v>2.61</v>
          </cell>
        </row>
        <row r="131">
          <cell r="C131">
            <v>155.19999999999999</v>
          </cell>
          <cell r="D131">
            <v>-14.3</v>
          </cell>
          <cell r="L131">
            <v>2.63</v>
          </cell>
        </row>
        <row r="132">
          <cell r="C132">
            <v>155.80000000000001</v>
          </cell>
          <cell r="D132">
            <v>-14.5</v>
          </cell>
          <cell r="L132">
            <v>2.59</v>
          </cell>
        </row>
        <row r="133">
          <cell r="C133">
            <v>156.80000000000001</v>
          </cell>
          <cell r="D133">
            <v>-14.3</v>
          </cell>
          <cell r="L133">
            <v>2.5</v>
          </cell>
        </row>
        <row r="134">
          <cell r="C134">
            <v>157.6</v>
          </cell>
          <cell r="D134">
            <v>-14.1</v>
          </cell>
          <cell r="L134">
            <v>2.33</v>
          </cell>
        </row>
        <row r="135">
          <cell r="C135">
            <v>157.6</v>
          </cell>
          <cell r="D135">
            <v>-14.1</v>
          </cell>
          <cell r="L135">
            <v>2.42</v>
          </cell>
        </row>
        <row r="136">
          <cell r="C136">
            <v>157.6</v>
          </cell>
          <cell r="D136">
            <v>-14.3</v>
          </cell>
          <cell r="L136">
            <v>2.57</v>
          </cell>
        </row>
        <row r="137">
          <cell r="C137">
            <v>157.6</v>
          </cell>
          <cell r="D137">
            <v>-14.7</v>
          </cell>
          <cell r="L137">
            <v>2.74</v>
          </cell>
        </row>
        <row r="138">
          <cell r="C138">
            <v>158</v>
          </cell>
          <cell r="D138">
            <v>-14.5</v>
          </cell>
          <cell r="L138">
            <v>2.78</v>
          </cell>
        </row>
        <row r="139">
          <cell r="C139">
            <v>159.4</v>
          </cell>
          <cell r="D139">
            <v>-14.1</v>
          </cell>
          <cell r="L139">
            <v>2.64</v>
          </cell>
        </row>
        <row r="140">
          <cell r="C140">
            <v>159.80000000000001</v>
          </cell>
          <cell r="D140">
            <v>-13.9</v>
          </cell>
          <cell r="L140">
            <v>2.57</v>
          </cell>
        </row>
        <row r="141">
          <cell r="C141">
            <v>159.19999999999999</v>
          </cell>
          <cell r="D141">
            <v>-14.3</v>
          </cell>
          <cell r="L141">
            <v>2.65</v>
          </cell>
        </row>
        <row r="142">
          <cell r="C142">
            <v>159.4</v>
          </cell>
          <cell r="D142">
            <v>-14.5</v>
          </cell>
          <cell r="L142">
            <v>2.8</v>
          </cell>
        </row>
        <row r="143">
          <cell r="C143">
            <v>160.19999999999999</v>
          </cell>
          <cell r="D143">
            <v>-14.9</v>
          </cell>
          <cell r="L143">
            <v>2.94</v>
          </cell>
        </row>
        <row r="144">
          <cell r="C144">
            <v>161.19999999999999</v>
          </cell>
          <cell r="D144">
            <v>-14.9</v>
          </cell>
          <cell r="L144">
            <v>2.85</v>
          </cell>
        </row>
        <row r="145">
          <cell r="C145">
            <v>162.80000000000001</v>
          </cell>
          <cell r="D145">
            <v>-14.7</v>
          </cell>
        </row>
        <row r="146">
          <cell r="C146">
            <v>164</v>
          </cell>
          <cell r="D146">
            <v>-14.9</v>
          </cell>
        </row>
        <row r="147">
          <cell r="C147">
            <v>164.6</v>
          </cell>
          <cell r="D147">
            <v>-15.3</v>
          </cell>
        </row>
        <row r="148">
          <cell r="C148">
            <v>165</v>
          </cell>
          <cell r="D148">
            <v>-15.5</v>
          </cell>
          <cell r="L148">
            <v>2.86</v>
          </cell>
        </row>
        <row r="149">
          <cell r="C149">
            <v>165.2</v>
          </cell>
          <cell r="D149">
            <v>-15.3</v>
          </cell>
          <cell r="L149">
            <v>2.87</v>
          </cell>
        </row>
        <row r="150">
          <cell r="C150">
            <v>165.6</v>
          </cell>
          <cell r="D150">
            <v>-15.3</v>
          </cell>
          <cell r="L150">
            <v>2.85</v>
          </cell>
        </row>
        <row r="151">
          <cell r="C151">
            <v>166.6</v>
          </cell>
          <cell r="D151">
            <v>-15.1</v>
          </cell>
          <cell r="L151">
            <v>2.8</v>
          </cell>
        </row>
        <row r="152">
          <cell r="C152">
            <v>167.8</v>
          </cell>
          <cell r="D152">
            <v>-14.5</v>
          </cell>
          <cell r="L152">
            <v>2.66</v>
          </cell>
        </row>
        <row r="153">
          <cell r="C153">
            <v>167.4</v>
          </cell>
          <cell r="D153">
            <v>-13.9</v>
          </cell>
          <cell r="L153">
            <v>2.58</v>
          </cell>
        </row>
        <row r="154">
          <cell r="C154">
            <v>167.4</v>
          </cell>
          <cell r="D154">
            <v>-14.7</v>
          </cell>
          <cell r="L154">
            <v>2.56</v>
          </cell>
        </row>
        <row r="155">
          <cell r="C155">
            <v>168.6</v>
          </cell>
          <cell r="D155">
            <v>-15.1</v>
          </cell>
          <cell r="L155">
            <v>2.8</v>
          </cell>
        </row>
        <row r="156">
          <cell r="C156">
            <v>170.2</v>
          </cell>
          <cell r="D156">
            <v>-15.3</v>
          </cell>
          <cell r="L156">
            <v>2.76</v>
          </cell>
        </row>
        <row r="157">
          <cell r="C157">
            <v>170.6</v>
          </cell>
          <cell r="D157">
            <v>-14.5</v>
          </cell>
          <cell r="L157">
            <v>2.56</v>
          </cell>
        </row>
        <row r="158">
          <cell r="C158">
            <v>171.4</v>
          </cell>
          <cell r="D158">
            <v>-14.5</v>
          </cell>
          <cell r="L158">
            <v>2.54</v>
          </cell>
        </row>
        <row r="159">
          <cell r="C159">
            <v>172.6</v>
          </cell>
          <cell r="D159">
            <v>-14.5</v>
          </cell>
          <cell r="L159">
            <v>2.52</v>
          </cell>
        </row>
        <row r="160">
          <cell r="C160">
            <v>173.4</v>
          </cell>
          <cell r="D160">
            <v>-14.7</v>
          </cell>
          <cell r="L160">
            <v>2.58</v>
          </cell>
        </row>
        <row r="161">
          <cell r="C161">
            <v>175.2</v>
          </cell>
          <cell r="D161">
            <v>-15.9</v>
          </cell>
          <cell r="L161">
            <v>2.64</v>
          </cell>
        </row>
        <row r="162">
          <cell r="C162">
            <v>176.8</v>
          </cell>
          <cell r="D162">
            <v>-15.9</v>
          </cell>
          <cell r="L162">
            <v>2.66</v>
          </cell>
        </row>
        <row r="163">
          <cell r="C163">
            <v>178.8</v>
          </cell>
          <cell r="D163">
            <v>-15.7</v>
          </cell>
          <cell r="L163">
            <v>2.64</v>
          </cell>
        </row>
        <row r="164">
          <cell r="C164">
            <v>180.6</v>
          </cell>
          <cell r="D164">
            <v>-15.7</v>
          </cell>
          <cell r="L164">
            <v>2.58</v>
          </cell>
        </row>
        <row r="165">
          <cell r="C165">
            <v>181.8</v>
          </cell>
          <cell r="D165">
            <v>-15.7</v>
          </cell>
          <cell r="L165">
            <v>2.57</v>
          </cell>
        </row>
        <row r="166">
          <cell r="C166">
            <v>182.8</v>
          </cell>
          <cell r="D166">
            <v>-16.3</v>
          </cell>
          <cell r="L166">
            <v>2.68</v>
          </cell>
        </row>
        <row r="167">
          <cell r="C167">
            <v>184</v>
          </cell>
          <cell r="D167">
            <v>-16.5</v>
          </cell>
          <cell r="L167">
            <v>2.74</v>
          </cell>
        </row>
        <row r="168">
          <cell r="C168">
            <v>185.4</v>
          </cell>
          <cell r="D168">
            <v>-16.7</v>
          </cell>
          <cell r="L168">
            <v>2.72</v>
          </cell>
        </row>
        <row r="169">
          <cell r="C169">
            <v>187.2</v>
          </cell>
          <cell r="D169">
            <v>-17.100000000000001</v>
          </cell>
          <cell r="L169">
            <v>2.7</v>
          </cell>
        </row>
        <row r="170">
          <cell r="C170">
            <v>188.2</v>
          </cell>
          <cell r="D170">
            <v>-17.3</v>
          </cell>
          <cell r="L170">
            <v>2.64</v>
          </cell>
        </row>
        <row r="171">
          <cell r="C171">
            <v>188.8</v>
          </cell>
          <cell r="D171">
            <v>-17.899999999999999</v>
          </cell>
          <cell r="L171">
            <v>2.82</v>
          </cell>
        </row>
        <row r="172">
          <cell r="C172">
            <v>189.8</v>
          </cell>
          <cell r="D172">
            <v>-18.7</v>
          </cell>
          <cell r="L172">
            <v>2.97</v>
          </cell>
        </row>
        <row r="173">
          <cell r="C173">
            <v>190.6</v>
          </cell>
          <cell r="D173">
            <v>-18.899999999999999</v>
          </cell>
          <cell r="L173">
            <v>3.07</v>
          </cell>
        </row>
        <row r="174">
          <cell r="C174">
            <v>191.6</v>
          </cell>
          <cell r="D174">
            <v>-19.7</v>
          </cell>
          <cell r="L174">
            <v>3.05</v>
          </cell>
        </row>
        <row r="175">
          <cell r="C175">
            <v>195</v>
          </cell>
          <cell r="D175">
            <v>-23.1</v>
          </cell>
          <cell r="L175">
            <v>3.02</v>
          </cell>
        </row>
        <row r="176">
          <cell r="C176">
            <v>197</v>
          </cell>
          <cell r="D176">
            <v>-23.5</v>
          </cell>
          <cell r="L176">
            <v>2.98</v>
          </cell>
        </row>
        <row r="177">
          <cell r="C177">
            <v>197.2</v>
          </cell>
          <cell r="D177">
            <v>-23.5</v>
          </cell>
          <cell r="L177">
            <v>2.9</v>
          </cell>
        </row>
        <row r="178">
          <cell r="C178">
            <v>197.4</v>
          </cell>
          <cell r="D178">
            <v>-23.7</v>
          </cell>
          <cell r="L178">
            <v>3.06</v>
          </cell>
        </row>
        <row r="179">
          <cell r="C179">
            <v>198.4</v>
          </cell>
          <cell r="D179">
            <v>-24.1</v>
          </cell>
          <cell r="L179">
            <v>3.19</v>
          </cell>
        </row>
        <row r="180">
          <cell r="C180">
            <v>199.4</v>
          </cell>
          <cell r="D180">
            <v>-24.1</v>
          </cell>
          <cell r="L180">
            <v>3.18</v>
          </cell>
        </row>
        <row r="181">
          <cell r="C181">
            <v>201.4</v>
          </cell>
          <cell r="D181">
            <v>-24.7</v>
          </cell>
          <cell r="L181">
            <v>3.11</v>
          </cell>
        </row>
        <row r="182">
          <cell r="C182">
            <v>203</v>
          </cell>
          <cell r="D182">
            <v>-25.1</v>
          </cell>
          <cell r="L182">
            <v>2.95</v>
          </cell>
        </row>
        <row r="183">
          <cell r="C183">
            <v>204.2</v>
          </cell>
          <cell r="D183">
            <v>-24.9</v>
          </cell>
          <cell r="L183">
            <v>3.03</v>
          </cell>
        </row>
        <row r="184">
          <cell r="C184">
            <v>205.2</v>
          </cell>
          <cell r="D184">
            <v>-24.9</v>
          </cell>
          <cell r="L184">
            <v>3.09</v>
          </cell>
        </row>
        <row r="185">
          <cell r="C185">
            <v>206</v>
          </cell>
          <cell r="D185">
            <v>-25.3</v>
          </cell>
          <cell r="L185">
            <v>3.2</v>
          </cell>
        </row>
        <row r="186">
          <cell r="C186">
            <v>206.2</v>
          </cell>
          <cell r="D186">
            <v>-24.5</v>
          </cell>
          <cell r="L186">
            <v>3.14</v>
          </cell>
        </row>
        <row r="187">
          <cell r="C187">
            <v>208</v>
          </cell>
          <cell r="D187">
            <v>-24.3</v>
          </cell>
          <cell r="L187">
            <v>3.09</v>
          </cell>
        </row>
        <row r="188">
          <cell r="C188">
            <v>207.3</v>
          </cell>
          <cell r="D188">
            <v>-24.3</v>
          </cell>
          <cell r="L188">
            <v>2.96</v>
          </cell>
        </row>
        <row r="189">
          <cell r="C189">
            <v>207.8</v>
          </cell>
          <cell r="D189">
            <v>-24.3</v>
          </cell>
          <cell r="L189">
            <v>2.95</v>
          </cell>
        </row>
        <row r="190">
          <cell r="C190">
            <v>208</v>
          </cell>
          <cell r="D190">
            <v>-24.7</v>
          </cell>
          <cell r="L190">
            <v>3.02</v>
          </cell>
        </row>
        <row r="191">
          <cell r="C191">
            <v>208.8</v>
          </cell>
          <cell r="D191">
            <v>-24.9</v>
          </cell>
          <cell r="L191">
            <v>3.17</v>
          </cell>
        </row>
        <row r="192">
          <cell r="C192">
            <v>210.3</v>
          </cell>
          <cell r="D192">
            <v>-24.8</v>
          </cell>
          <cell r="L192">
            <v>3.08</v>
          </cell>
        </row>
        <row r="193">
          <cell r="C193">
            <v>211.8</v>
          </cell>
          <cell r="D193">
            <v>-24.6</v>
          </cell>
          <cell r="L193">
            <v>2.88</v>
          </cell>
        </row>
        <row r="194">
          <cell r="C194">
            <v>213.2</v>
          </cell>
          <cell r="D194">
            <v>-24.5</v>
          </cell>
          <cell r="L194">
            <v>2.68</v>
          </cell>
        </row>
        <row r="195">
          <cell r="C195">
            <v>213.6</v>
          </cell>
          <cell r="D195">
            <v>-24.8</v>
          </cell>
          <cell r="L195">
            <v>2.73</v>
          </cell>
        </row>
        <row r="196">
          <cell r="C196">
            <v>214.8</v>
          </cell>
          <cell r="D196">
            <v>-25.4</v>
          </cell>
          <cell r="L196">
            <v>3</v>
          </cell>
        </row>
        <row r="197">
          <cell r="C197">
            <v>215.4</v>
          </cell>
          <cell r="D197">
            <v>-25.5</v>
          </cell>
          <cell r="L197">
            <v>3.06</v>
          </cell>
        </row>
        <row r="198">
          <cell r="C198">
            <v>216.8</v>
          </cell>
          <cell r="D198">
            <v>-25.4</v>
          </cell>
          <cell r="L198">
            <v>3.03</v>
          </cell>
        </row>
        <row r="199">
          <cell r="C199">
            <v>218</v>
          </cell>
          <cell r="D199">
            <v>-25.1</v>
          </cell>
          <cell r="L199">
            <v>2.96</v>
          </cell>
        </row>
        <row r="200">
          <cell r="C200">
            <v>219.2</v>
          </cell>
          <cell r="D200">
            <v>-25</v>
          </cell>
          <cell r="L200">
            <v>2.83</v>
          </cell>
        </row>
        <row r="201">
          <cell r="C201">
            <v>219.2</v>
          </cell>
          <cell r="D201">
            <v>-25</v>
          </cell>
          <cell r="L201">
            <v>2.88</v>
          </cell>
        </row>
        <row r="202">
          <cell r="C202">
            <v>219.8</v>
          </cell>
          <cell r="D202">
            <v>-25.5</v>
          </cell>
          <cell r="L202">
            <v>3.06</v>
          </cell>
        </row>
        <row r="203">
          <cell r="C203">
            <v>220.5</v>
          </cell>
          <cell r="D203">
            <v>-25.8</v>
          </cell>
          <cell r="L203">
            <v>3.21</v>
          </cell>
        </row>
        <row r="204">
          <cell r="C204">
            <v>221.5</v>
          </cell>
          <cell r="D204">
            <v>-25.6</v>
          </cell>
          <cell r="L204">
            <v>3.11</v>
          </cell>
        </row>
        <row r="205">
          <cell r="C205">
            <v>222.4</v>
          </cell>
          <cell r="D205">
            <v>-25.5</v>
          </cell>
          <cell r="L205">
            <v>2.99</v>
          </cell>
        </row>
        <row r="206">
          <cell r="C206">
            <v>223</v>
          </cell>
          <cell r="D206">
            <v>-25.7</v>
          </cell>
          <cell r="L206">
            <v>2.93</v>
          </cell>
        </row>
        <row r="207">
          <cell r="C207">
            <v>223.9</v>
          </cell>
          <cell r="D207">
            <v>-25.7</v>
          </cell>
          <cell r="L207">
            <v>2.91</v>
          </cell>
        </row>
        <row r="208">
          <cell r="C208">
            <v>224.3</v>
          </cell>
          <cell r="D208">
            <v>-26.1</v>
          </cell>
          <cell r="L208">
            <v>2.97</v>
          </cell>
        </row>
        <row r="209">
          <cell r="C209">
            <v>224.7</v>
          </cell>
          <cell r="D209">
            <v>-26.2</v>
          </cell>
          <cell r="L209">
            <v>3.13</v>
          </cell>
        </row>
        <row r="210">
          <cell r="C210">
            <v>225.8</v>
          </cell>
          <cell r="D210">
            <v>-26</v>
          </cell>
          <cell r="L210">
            <v>3.17</v>
          </cell>
        </row>
        <row r="211">
          <cell r="C211">
            <v>227.5</v>
          </cell>
          <cell r="D211">
            <v>-29.8</v>
          </cell>
          <cell r="L211">
            <v>3.1</v>
          </cell>
        </row>
        <row r="212">
          <cell r="C212">
            <v>228.6</v>
          </cell>
          <cell r="D212">
            <v>-28.4</v>
          </cell>
          <cell r="L212">
            <v>2.93</v>
          </cell>
        </row>
        <row r="213">
          <cell r="C213">
            <v>228</v>
          </cell>
          <cell r="D213">
            <v>-27.2</v>
          </cell>
          <cell r="L213">
            <v>2.92</v>
          </cell>
        </row>
        <row r="214">
          <cell r="C214">
            <v>227.3</v>
          </cell>
          <cell r="D214">
            <v>-27.4</v>
          </cell>
          <cell r="L214">
            <v>2.93</v>
          </cell>
        </row>
        <row r="215">
          <cell r="C215">
            <v>227.7</v>
          </cell>
          <cell r="D215">
            <v>-27.7</v>
          </cell>
          <cell r="L215">
            <v>3.09</v>
          </cell>
        </row>
        <row r="216">
          <cell r="C216">
            <v>229.4</v>
          </cell>
          <cell r="D216">
            <v>-27.5</v>
          </cell>
          <cell r="L216">
            <v>2.84</v>
          </cell>
        </row>
        <row r="217">
          <cell r="C217">
            <v>229.5</v>
          </cell>
          <cell r="D217">
            <v>-27.5</v>
          </cell>
          <cell r="L217">
            <v>2.82</v>
          </cell>
        </row>
        <row r="218">
          <cell r="C218">
            <v>230.3</v>
          </cell>
          <cell r="D218">
            <v>-28.1</v>
          </cell>
          <cell r="L218">
            <v>2.81</v>
          </cell>
        </row>
        <row r="219">
          <cell r="C219">
            <v>230.8</v>
          </cell>
          <cell r="D219">
            <v>-28.2</v>
          </cell>
          <cell r="L219">
            <v>2.84</v>
          </cell>
        </row>
        <row r="220">
          <cell r="C220">
            <v>231.3</v>
          </cell>
          <cell r="D220">
            <v>-28.4</v>
          </cell>
          <cell r="L220">
            <v>2.97</v>
          </cell>
        </row>
        <row r="221">
          <cell r="C221">
            <v>231.6</v>
          </cell>
          <cell r="D221">
            <v>-28.6</v>
          </cell>
          <cell r="L221">
            <v>3.06</v>
          </cell>
        </row>
        <row r="222">
          <cell r="C222">
            <v>232.5</v>
          </cell>
          <cell r="D222">
            <v>-28.5</v>
          </cell>
          <cell r="L222">
            <v>3.03</v>
          </cell>
        </row>
        <row r="223">
          <cell r="C223">
            <v>233.4</v>
          </cell>
          <cell r="D223">
            <v>-28.6</v>
          </cell>
          <cell r="L223">
            <v>3.07</v>
          </cell>
        </row>
        <row r="224">
          <cell r="C224">
            <v>234.8</v>
          </cell>
          <cell r="D224">
            <v>-28.5</v>
          </cell>
          <cell r="L224">
            <v>2.99</v>
          </cell>
        </row>
        <row r="225">
          <cell r="C225">
            <v>235.1</v>
          </cell>
          <cell r="D225">
            <v>-28.5</v>
          </cell>
          <cell r="L225">
            <v>2.91</v>
          </cell>
        </row>
        <row r="226">
          <cell r="C226">
            <v>235.5</v>
          </cell>
          <cell r="D226">
            <v>-28.7</v>
          </cell>
          <cell r="L226">
            <v>2.95</v>
          </cell>
        </row>
        <row r="227">
          <cell r="C227">
            <v>236</v>
          </cell>
          <cell r="D227">
            <v>-28.9</v>
          </cell>
          <cell r="L227">
            <v>3.06</v>
          </cell>
        </row>
        <row r="228">
          <cell r="C228">
            <v>236.7</v>
          </cell>
          <cell r="D228">
            <v>-28.6</v>
          </cell>
          <cell r="L228">
            <v>2.97</v>
          </cell>
        </row>
        <row r="229">
          <cell r="C229">
            <v>237.6</v>
          </cell>
          <cell r="D229">
            <v>-28.2</v>
          </cell>
          <cell r="L229">
            <v>2.7</v>
          </cell>
        </row>
        <row r="230">
          <cell r="C230">
            <v>238</v>
          </cell>
          <cell r="D230">
            <v>-28.4</v>
          </cell>
          <cell r="L230">
            <v>2.71</v>
          </cell>
        </row>
        <row r="231">
          <cell r="C231">
            <v>238.8</v>
          </cell>
          <cell r="D231">
            <v>-28.3</v>
          </cell>
          <cell r="L231">
            <v>2.71</v>
          </cell>
        </row>
        <row r="232">
          <cell r="C232">
            <v>239.1</v>
          </cell>
          <cell r="D232">
            <v>-28.6</v>
          </cell>
          <cell r="L232">
            <v>2.89</v>
          </cell>
        </row>
        <row r="233">
          <cell r="C233">
            <v>239.6</v>
          </cell>
          <cell r="D233">
            <v>-28.8</v>
          </cell>
          <cell r="L233">
            <v>3</v>
          </cell>
        </row>
        <row r="234">
          <cell r="C234">
            <v>239.9</v>
          </cell>
          <cell r="D234">
            <v>-28.8</v>
          </cell>
          <cell r="L234">
            <v>3.03</v>
          </cell>
        </row>
        <row r="235">
          <cell r="C235">
            <v>241.3</v>
          </cell>
          <cell r="D235">
            <v>-28.7</v>
          </cell>
          <cell r="L235">
            <v>3.08</v>
          </cell>
        </row>
        <row r="236">
          <cell r="C236">
            <v>242.8</v>
          </cell>
          <cell r="D236">
            <v>-28.5</v>
          </cell>
          <cell r="L236">
            <v>2.87</v>
          </cell>
        </row>
        <row r="237">
          <cell r="C237">
            <v>242.8</v>
          </cell>
          <cell r="D237">
            <v>-28.5</v>
          </cell>
          <cell r="L237">
            <v>2.86</v>
          </cell>
        </row>
        <row r="238">
          <cell r="C238">
            <v>242.8</v>
          </cell>
          <cell r="D238">
            <v>-28.9</v>
          </cell>
          <cell r="L238">
            <v>3.02</v>
          </cell>
        </row>
        <row r="239">
          <cell r="C239">
            <v>243</v>
          </cell>
          <cell r="D239">
            <v>-29</v>
          </cell>
          <cell r="L239">
            <v>3.12</v>
          </cell>
        </row>
        <row r="240">
          <cell r="C240">
            <v>243.9</v>
          </cell>
          <cell r="D240">
            <v>-29</v>
          </cell>
          <cell r="L240">
            <v>2.99</v>
          </cell>
        </row>
        <row r="241">
          <cell r="C241">
            <v>244.7</v>
          </cell>
          <cell r="D241">
            <v>-28.8</v>
          </cell>
          <cell r="L241">
            <v>2.89</v>
          </cell>
        </row>
        <row r="242">
          <cell r="C242">
            <v>245.4</v>
          </cell>
          <cell r="D242">
            <v>-28.8</v>
          </cell>
          <cell r="L242">
            <v>2.79</v>
          </cell>
        </row>
        <row r="243">
          <cell r="C243">
            <v>245.9</v>
          </cell>
          <cell r="D243">
            <v>-28.9</v>
          </cell>
          <cell r="L243">
            <v>2.83</v>
          </cell>
        </row>
        <row r="244">
          <cell r="C244">
            <v>246.3</v>
          </cell>
          <cell r="D244">
            <v>-28.9</v>
          </cell>
          <cell r="L244">
            <v>2.9</v>
          </cell>
        </row>
        <row r="245">
          <cell r="C245">
            <v>246.7</v>
          </cell>
          <cell r="D245">
            <v>-29.1</v>
          </cell>
          <cell r="L245">
            <v>2.99</v>
          </cell>
        </row>
        <row r="246">
          <cell r="C246">
            <v>247.5</v>
          </cell>
          <cell r="D246">
            <v>-29</v>
          </cell>
          <cell r="L246">
            <v>3.03</v>
          </cell>
        </row>
        <row r="247">
          <cell r="C247">
            <v>248.8</v>
          </cell>
          <cell r="D247">
            <v>-28.9</v>
          </cell>
          <cell r="L247">
            <v>3.04</v>
          </cell>
        </row>
        <row r="248">
          <cell r="C248">
            <v>250</v>
          </cell>
          <cell r="D248">
            <v>-28.8</v>
          </cell>
          <cell r="L248">
            <v>2.97</v>
          </cell>
        </row>
        <row r="249">
          <cell r="C249">
            <v>250.6</v>
          </cell>
          <cell r="D249">
            <v>-28.7</v>
          </cell>
          <cell r="L249">
            <v>2.9</v>
          </cell>
        </row>
        <row r="250">
          <cell r="C250">
            <v>250.2</v>
          </cell>
          <cell r="D250">
            <v>-28.8</v>
          </cell>
          <cell r="L250">
            <v>2.88</v>
          </cell>
        </row>
        <row r="251">
          <cell r="C251">
            <v>250.4</v>
          </cell>
          <cell r="D251">
            <v>-29.1</v>
          </cell>
          <cell r="L251">
            <v>3.08</v>
          </cell>
        </row>
        <row r="252">
          <cell r="C252">
            <v>251.1</v>
          </cell>
          <cell r="D252">
            <v>-29</v>
          </cell>
          <cell r="L252">
            <v>2.99</v>
          </cell>
        </row>
        <row r="253">
          <cell r="C253">
            <v>251.5</v>
          </cell>
          <cell r="D253">
            <v>-29</v>
          </cell>
          <cell r="L253">
            <v>2.99</v>
          </cell>
        </row>
      </sheetData>
      <sheetData sheetId="2">
        <row r="7">
          <cell r="C7">
            <v>0</v>
          </cell>
          <cell r="D7">
            <v>0</v>
          </cell>
          <cell r="K7">
            <v>6.3</v>
          </cell>
          <cell r="L7">
            <v>5.69</v>
          </cell>
        </row>
        <row r="8">
          <cell r="C8">
            <v>11.6</v>
          </cell>
          <cell r="D8">
            <v>-0.9</v>
          </cell>
          <cell r="K8">
            <v>6.3</v>
          </cell>
          <cell r="L8">
            <v>5.66</v>
          </cell>
        </row>
        <row r="9">
          <cell r="C9">
            <v>15.2</v>
          </cell>
          <cell r="D9">
            <v>-0.7</v>
          </cell>
          <cell r="K9">
            <v>6.32</v>
          </cell>
          <cell r="L9">
            <v>5.74</v>
          </cell>
        </row>
        <row r="10">
          <cell r="C10">
            <v>15.8</v>
          </cell>
          <cell r="D10">
            <v>-0.3</v>
          </cell>
          <cell r="K10">
            <v>6.24</v>
          </cell>
          <cell r="L10">
            <v>5.69</v>
          </cell>
        </row>
        <row r="11">
          <cell r="C11">
            <v>18</v>
          </cell>
          <cell r="D11">
            <v>-0.3</v>
          </cell>
          <cell r="K11">
            <v>6.29</v>
          </cell>
          <cell r="L11">
            <v>5.88</v>
          </cell>
        </row>
        <row r="12">
          <cell r="C12">
            <v>17.8</v>
          </cell>
          <cell r="D12">
            <v>-0.5</v>
          </cell>
          <cell r="K12">
            <v>6.32</v>
          </cell>
          <cell r="L12">
            <v>5.97</v>
          </cell>
        </row>
        <row r="13">
          <cell r="C13">
            <v>18.2</v>
          </cell>
          <cell r="D13">
            <v>-0.1</v>
          </cell>
          <cell r="K13">
            <v>6.29</v>
          </cell>
          <cell r="L13">
            <v>6</v>
          </cell>
        </row>
        <row r="14">
          <cell r="C14">
            <v>20.6</v>
          </cell>
          <cell r="D14">
            <v>1.9</v>
          </cell>
          <cell r="K14">
            <v>6.24</v>
          </cell>
          <cell r="L14">
            <v>5.98</v>
          </cell>
        </row>
        <row r="15">
          <cell r="C15">
            <v>23.6</v>
          </cell>
          <cell r="D15">
            <v>1.3</v>
          </cell>
          <cell r="K15">
            <v>6.24</v>
          </cell>
          <cell r="L15">
            <v>6.07</v>
          </cell>
        </row>
        <row r="16">
          <cell r="C16">
            <v>25</v>
          </cell>
          <cell r="D16">
            <v>1.3</v>
          </cell>
          <cell r="K16">
            <v>6.31</v>
          </cell>
          <cell r="L16">
            <v>6.17</v>
          </cell>
        </row>
        <row r="17">
          <cell r="C17">
            <v>27.2</v>
          </cell>
          <cell r="D17">
            <v>1.3</v>
          </cell>
          <cell r="K17">
            <v>6.25</v>
          </cell>
          <cell r="L17">
            <v>6.25</v>
          </cell>
        </row>
        <row r="18">
          <cell r="C18">
            <v>28.8</v>
          </cell>
          <cell r="D18">
            <v>1.3</v>
          </cell>
          <cell r="K18">
            <v>6.33</v>
          </cell>
          <cell r="L18">
            <v>6.28</v>
          </cell>
        </row>
        <row r="19">
          <cell r="C19">
            <v>34.4</v>
          </cell>
          <cell r="D19">
            <v>-0.5</v>
          </cell>
          <cell r="K19">
            <v>6.37</v>
          </cell>
          <cell r="L19">
            <v>6.29</v>
          </cell>
        </row>
        <row r="20">
          <cell r="C20">
            <v>39</v>
          </cell>
          <cell r="D20">
            <v>-0.7</v>
          </cell>
          <cell r="K20">
            <v>6.39</v>
          </cell>
          <cell r="L20">
            <v>6.31</v>
          </cell>
        </row>
        <row r="21">
          <cell r="C21">
            <v>41</v>
          </cell>
          <cell r="D21">
            <v>-0.7</v>
          </cell>
          <cell r="K21">
            <v>6.35</v>
          </cell>
          <cell r="L21">
            <v>6.27</v>
          </cell>
        </row>
        <row r="22">
          <cell r="C22">
            <v>39.4</v>
          </cell>
          <cell r="D22">
            <v>-0.1</v>
          </cell>
          <cell r="K22">
            <v>6.3</v>
          </cell>
          <cell r="L22">
            <v>6.12</v>
          </cell>
        </row>
        <row r="23">
          <cell r="C23">
            <v>40.6</v>
          </cell>
          <cell r="D23">
            <v>-0.3</v>
          </cell>
          <cell r="K23">
            <v>6.33</v>
          </cell>
          <cell r="L23">
            <v>6.22</v>
          </cell>
        </row>
        <row r="24">
          <cell r="C24">
            <v>42</v>
          </cell>
          <cell r="D24">
            <v>-0.7</v>
          </cell>
          <cell r="K24">
            <v>6.32</v>
          </cell>
          <cell r="L24">
            <v>6.34</v>
          </cell>
        </row>
        <row r="25">
          <cell r="C25">
            <v>42.6</v>
          </cell>
          <cell r="D25">
            <v>-0.5</v>
          </cell>
          <cell r="K25">
            <v>6.3</v>
          </cell>
          <cell r="L25">
            <v>6.38</v>
          </cell>
        </row>
        <row r="26">
          <cell r="C26">
            <v>41.2</v>
          </cell>
          <cell r="D26">
            <v>-0.7</v>
          </cell>
          <cell r="K26">
            <v>6.38</v>
          </cell>
          <cell r="L26">
            <v>6.45</v>
          </cell>
        </row>
        <row r="27">
          <cell r="C27">
            <v>42.8</v>
          </cell>
          <cell r="D27">
            <v>-1.1000000000000001</v>
          </cell>
          <cell r="K27">
            <v>6.41</v>
          </cell>
          <cell r="L27">
            <v>6.65</v>
          </cell>
        </row>
        <row r="28">
          <cell r="C28">
            <v>44</v>
          </cell>
          <cell r="D28">
            <v>-1.3</v>
          </cell>
          <cell r="K28">
            <v>6.36</v>
          </cell>
          <cell r="L28">
            <v>6.76</v>
          </cell>
        </row>
        <row r="29">
          <cell r="C29">
            <v>45.6</v>
          </cell>
          <cell r="D29">
            <v>-1.7</v>
          </cell>
          <cell r="K29">
            <v>6.34</v>
          </cell>
          <cell r="L29">
            <v>6.85</v>
          </cell>
        </row>
        <row r="30">
          <cell r="C30">
            <v>47</v>
          </cell>
          <cell r="D30">
            <v>-1.7</v>
          </cell>
          <cell r="K30">
            <v>6.37</v>
          </cell>
          <cell r="L30">
            <v>6.85</v>
          </cell>
        </row>
        <row r="31">
          <cell r="C31">
            <v>48.8</v>
          </cell>
          <cell r="D31">
            <v>-2.1</v>
          </cell>
          <cell r="K31">
            <v>6.38</v>
          </cell>
          <cell r="L31">
            <v>6.77</v>
          </cell>
        </row>
        <row r="32">
          <cell r="C32">
            <v>52.4</v>
          </cell>
          <cell r="D32">
            <v>-2.2999999999999998</v>
          </cell>
          <cell r="K32">
            <v>6.41</v>
          </cell>
          <cell r="L32">
            <v>6.77</v>
          </cell>
        </row>
        <row r="33">
          <cell r="C33">
            <v>61.6</v>
          </cell>
          <cell r="D33">
            <v>-0.9</v>
          </cell>
          <cell r="K33">
            <v>6.4</v>
          </cell>
          <cell r="L33">
            <v>6.66</v>
          </cell>
        </row>
        <row r="34">
          <cell r="C34">
            <v>63.6</v>
          </cell>
          <cell r="D34">
            <v>-1.9</v>
          </cell>
          <cell r="K34">
            <v>6.44</v>
          </cell>
          <cell r="L34">
            <v>6.6</v>
          </cell>
        </row>
        <row r="35">
          <cell r="C35">
            <v>66.599999999999994</v>
          </cell>
          <cell r="D35">
            <v>-2.9</v>
          </cell>
          <cell r="K35">
            <v>6.47</v>
          </cell>
          <cell r="L35">
            <v>6.82</v>
          </cell>
        </row>
        <row r="36">
          <cell r="C36">
            <v>69.2</v>
          </cell>
          <cell r="D36">
            <v>-3.9</v>
          </cell>
          <cell r="K36">
            <v>6.43</v>
          </cell>
          <cell r="L36">
            <v>6.92</v>
          </cell>
        </row>
        <row r="37">
          <cell r="C37">
            <v>72</v>
          </cell>
          <cell r="D37">
            <v>-4.0999999999999996</v>
          </cell>
          <cell r="K37">
            <v>6.32</v>
          </cell>
          <cell r="L37">
            <v>6.89</v>
          </cell>
        </row>
        <row r="38">
          <cell r="C38">
            <v>74.8</v>
          </cell>
          <cell r="D38">
            <v>-4.3</v>
          </cell>
          <cell r="K38">
            <v>6.22</v>
          </cell>
          <cell r="L38">
            <v>6.8</v>
          </cell>
        </row>
        <row r="39">
          <cell r="C39">
            <v>74.8</v>
          </cell>
          <cell r="D39">
            <v>-4.3</v>
          </cell>
          <cell r="K39">
            <v>6.26</v>
          </cell>
          <cell r="L39">
            <v>6.73</v>
          </cell>
        </row>
        <row r="40">
          <cell r="C40">
            <v>76</v>
          </cell>
          <cell r="D40">
            <v>-4.0999999999999996</v>
          </cell>
          <cell r="K40">
            <v>6.28</v>
          </cell>
          <cell r="L40">
            <v>6.69</v>
          </cell>
        </row>
        <row r="41">
          <cell r="C41">
            <v>76</v>
          </cell>
          <cell r="D41">
            <v>-4.0999999999999996</v>
          </cell>
          <cell r="K41">
            <v>6.33</v>
          </cell>
          <cell r="L41">
            <v>6.66</v>
          </cell>
        </row>
        <row r="42">
          <cell r="C42">
            <v>77.8</v>
          </cell>
          <cell r="D42">
            <v>-4.0999999999999996</v>
          </cell>
          <cell r="K42">
            <v>6.37</v>
          </cell>
          <cell r="L42">
            <v>6.78</v>
          </cell>
        </row>
        <row r="43">
          <cell r="C43">
            <v>81.400000000000006</v>
          </cell>
          <cell r="D43">
            <v>-3.3</v>
          </cell>
          <cell r="K43">
            <v>6.3</v>
          </cell>
          <cell r="L43">
            <v>6.8</v>
          </cell>
        </row>
        <row r="44">
          <cell r="C44">
            <v>86.8</v>
          </cell>
          <cell r="D44">
            <v>-2.9</v>
          </cell>
          <cell r="K44">
            <v>5.96</v>
          </cell>
          <cell r="L44">
            <v>6.78</v>
          </cell>
        </row>
        <row r="45">
          <cell r="C45">
            <v>88.2</v>
          </cell>
          <cell r="D45">
            <v>-1.5</v>
          </cell>
          <cell r="K45">
            <v>5.81</v>
          </cell>
          <cell r="L45">
            <v>6.65</v>
          </cell>
        </row>
        <row r="46">
          <cell r="C46">
            <v>88.2</v>
          </cell>
          <cell r="D46">
            <v>-1.5</v>
          </cell>
          <cell r="K46">
            <v>5.76</v>
          </cell>
          <cell r="L46">
            <v>6.64</v>
          </cell>
        </row>
        <row r="47">
          <cell r="C47">
            <v>88.8</v>
          </cell>
          <cell r="D47">
            <v>-1.9</v>
          </cell>
          <cell r="K47">
            <v>5.82</v>
          </cell>
          <cell r="L47">
            <v>6.88</v>
          </cell>
        </row>
        <row r="48">
          <cell r="C48">
            <v>89.4</v>
          </cell>
          <cell r="D48">
            <v>-1.9</v>
          </cell>
          <cell r="K48">
            <v>5.9</v>
          </cell>
          <cell r="L48">
            <v>6.87</v>
          </cell>
        </row>
        <row r="49">
          <cell r="C49">
            <v>89.8</v>
          </cell>
          <cell r="D49">
            <v>-2.1</v>
          </cell>
          <cell r="K49">
            <v>6.07</v>
          </cell>
          <cell r="L49">
            <v>6.8</v>
          </cell>
        </row>
        <row r="50">
          <cell r="C50">
            <v>90.6</v>
          </cell>
          <cell r="D50">
            <v>-2.1</v>
          </cell>
          <cell r="K50">
            <v>6.12</v>
          </cell>
          <cell r="L50">
            <v>6.71</v>
          </cell>
        </row>
        <row r="51">
          <cell r="C51">
            <v>90.8</v>
          </cell>
          <cell r="D51">
            <v>-2.2999999999999998</v>
          </cell>
          <cell r="K51">
            <v>6.19</v>
          </cell>
          <cell r="L51">
            <v>6.7</v>
          </cell>
        </row>
        <row r="52">
          <cell r="C52">
            <v>92</v>
          </cell>
          <cell r="D52">
            <v>-2.7</v>
          </cell>
          <cell r="K52">
            <v>6.23</v>
          </cell>
          <cell r="L52">
            <v>6.72</v>
          </cell>
        </row>
        <row r="53">
          <cell r="C53">
            <v>91.8</v>
          </cell>
          <cell r="D53">
            <v>-2.9</v>
          </cell>
          <cell r="K53">
            <v>6.27</v>
          </cell>
          <cell r="L53">
            <v>6.65</v>
          </cell>
        </row>
        <row r="54">
          <cell r="C54">
            <v>94.2</v>
          </cell>
          <cell r="D54">
            <v>-2.7</v>
          </cell>
          <cell r="K54">
            <v>6.31</v>
          </cell>
          <cell r="L54">
            <v>6.54</v>
          </cell>
        </row>
        <row r="55">
          <cell r="C55">
            <v>97.2</v>
          </cell>
          <cell r="D55">
            <v>-2.1</v>
          </cell>
          <cell r="K55">
            <v>6.29</v>
          </cell>
          <cell r="L55">
            <v>6.47</v>
          </cell>
        </row>
        <row r="56">
          <cell r="C56">
            <v>100.2</v>
          </cell>
          <cell r="D56">
            <v>-1.7</v>
          </cell>
          <cell r="K56">
            <v>6.32</v>
          </cell>
          <cell r="L56">
            <v>6.41</v>
          </cell>
        </row>
        <row r="57">
          <cell r="C57">
            <v>102.8</v>
          </cell>
          <cell r="D57">
            <v>-1.1000000000000001</v>
          </cell>
          <cell r="K57">
            <v>6.33</v>
          </cell>
          <cell r="L57">
            <v>6.28</v>
          </cell>
        </row>
        <row r="58">
          <cell r="C58">
            <v>101.2</v>
          </cell>
          <cell r="D58">
            <v>-0.9</v>
          </cell>
          <cell r="K58">
            <v>6.29</v>
          </cell>
          <cell r="L58">
            <v>6.19</v>
          </cell>
        </row>
        <row r="59">
          <cell r="C59">
            <v>101.6</v>
          </cell>
          <cell r="D59">
            <v>-1.3</v>
          </cell>
          <cell r="K59">
            <v>6.34</v>
          </cell>
          <cell r="L59">
            <v>6.24</v>
          </cell>
        </row>
        <row r="60">
          <cell r="C60">
            <v>102.4</v>
          </cell>
          <cell r="D60">
            <v>-1.1000000000000001</v>
          </cell>
          <cell r="K60">
            <v>6.3</v>
          </cell>
          <cell r="L60">
            <v>6.11</v>
          </cell>
        </row>
        <row r="61">
          <cell r="C61">
            <v>103.2</v>
          </cell>
          <cell r="D61">
            <v>-0.9</v>
          </cell>
          <cell r="K61">
            <v>6.23</v>
          </cell>
          <cell r="L61">
            <v>6</v>
          </cell>
        </row>
        <row r="62">
          <cell r="C62">
            <v>105</v>
          </cell>
          <cell r="D62">
            <v>-0.5</v>
          </cell>
          <cell r="K62">
            <v>6.1</v>
          </cell>
          <cell r="L62">
            <v>5.86</v>
          </cell>
        </row>
        <row r="63">
          <cell r="C63">
            <v>106.6</v>
          </cell>
          <cell r="D63">
            <v>-0.3</v>
          </cell>
          <cell r="K63">
            <v>6</v>
          </cell>
          <cell r="L63">
            <v>5.77</v>
          </cell>
        </row>
        <row r="64">
          <cell r="C64">
            <v>108</v>
          </cell>
          <cell r="D64">
            <v>0.1</v>
          </cell>
          <cell r="K64">
            <v>5.92</v>
          </cell>
          <cell r="L64">
            <v>5.66</v>
          </cell>
        </row>
        <row r="65">
          <cell r="C65">
            <v>109</v>
          </cell>
          <cell r="D65">
            <v>0.5</v>
          </cell>
          <cell r="K65">
            <v>5.91</v>
          </cell>
          <cell r="L65">
            <v>5.59</v>
          </cell>
        </row>
        <row r="66">
          <cell r="C66">
            <v>109.8</v>
          </cell>
          <cell r="D66">
            <v>0.9</v>
          </cell>
          <cell r="K66">
            <v>5.94</v>
          </cell>
          <cell r="L66">
            <v>5.55</v>
          </cell>
        </row>
        <row r="67">
          <cell r="C67">
            <v>112.4</v>
          </cell>
          <cell r="D67">
            <v>1.7</v>
          </cell>
          <cell r="K67">
            <v>5.95</v>
          </cell>
          <cell r="L67">
            <v>5.53</v>
          </cell>
        </row>
        <row r="68">
          <cell r="C68">
            <v>115.2</v>
          </cell>
          <cell r="D68">
            <v>2.2999999999999998</v>
          </cell>
          <cell r="K68">
            <v>5.99</v>
          </cell>
          <cell r="L68">
            <v>5.5</v>
          </cell>
        </row>
        <row r="69">
          <cell r="C69">
            <v>114.6</v>
          </cell>
          <cell r="D69">
            <v>2.9</v>
          </cell>
          <cell r="K69">
            <v>5.96</v>
          </cell>
          <cell r="L69">
            <v>5.43</v>
          </cell>
        </row>
        <row r="70">
          <cell r="C70">
            <v>114.4</v>
          </cell>
          <cell r="D70">
            <v>2.7</v>
          </cell>
          <cell r="K70">
            <v>5.95</v>
          </cell>
          <cell r="L70">
            <v>5.4</v>
          </cell>
        </row>
        <row r="71">
          <cell r="C71">
            <v>115.2</v>
          </cell>
          <cell r="D71">
            <v>2.9</v>
          </cell>
          <cell r="K71">
            <v>5.99</v>
          </cell>
          <cell r="L71">
            <v>5.47</v>
          </cell>
        </row>
        <row r="72">
          <cell r="C72">
            <v>116.4</v>
          </cell>
          <cell r="D72">
            <v>2.9</v>
          </cell>
          <cell r="K72">
            <v>5.91</v>
          </cell>
          <cell r="L72">
            <v>5.36</v>
          </cell>
        </row>
        <row r="73">
          <cell r="C73">
            <v>116.6</v>
          </cell>
          <cell r="D73">
            <v>3.3</v>
          </cell>
          <cell r="K73">
            <v>5.87</v>
          </cell>
          <cell r="L73">
            <v>5.18</v>
          </cell>
        </row>
        <row r="74">
          <cell r="C74">
            <v>118</v>
          </cell>
          <cell r="D74">
            <v>3.5</v>
          </cell>
          <cell r="K74">
            <v>5.77</v>
          </cell>
          <cell r="L74">
            <v>4.99</v>
          </cell>
        </row>
        <row r="75">
          <cell r="C75">
            <v>118.2</v>
          </cell>
          <cell r="D75">
            <v>2.9</v>
          </cell>
          <cell r="K75">
            <v>5.8</v>
          </cell>
          <cell r="L75">
            <v>4.93</v>
          </cell>
        </row>
        <row r="76">
          <cell r="C76">
            <v>118</v>
          </cell>
          <cell r="D76">
            <v>2.9</v>
          </cell>
          <cell r="K76">
            <v>5.82</v>
          </cell>
          <cell r="L76">
            <v>5.0199999999999996</v>
          </cell>
        </row>
        <row r="77">
          <cell r="C77">
            <v>119.2</v>
          </cell>
          <cell r="D77">
            <v>3.1</v>
          </cell>
          <cell r="K77">
            <v>5.83</v>
          </cell>
          <cell r="L77">
            <v>5.18</v>
          </cell>
        </row>
        <row r="78">
          <cell r="C78">
            <v>120.8</v>
          </cell>
          <cell r="D78">
            <v>3.7</v>
          </cell>
          <cell r="K78">
            <v>5.74</v>
          </cell>
          <cell r="L78">
            <v>5.18</v>
          </cell>
        </row>
        <row r="79">
          <cell r="C79">
            <v>122.6</v>
          </cell>
          <cell r="D79">
            <v>4.3</v>
          </cell>
          <cell r="K79">
            <v>5.73</v>
          </cell>
          <cell r="L79">
            <v>5.16</v>
          </cell>
        </row>
        <row r="80">
          <cell r="C80">
            <v>124.6</v>
          </cell>
          <cell r="D80">
            <v>5.3</v>
          </cell>
          <cell r="K80">
            <v>5.7</v>
          </cell>
          <cell r="L80">
            <v>5.07</v>
          </cell>
        </row>
        <row r="81">
          <cell r="C81">
            <v>124</v>
          </cell>
          <cell r="D81">
            <v>5.5</v>
          </cell>
          <cell r="K81">
            <v>5.75</v>
          </cell>
          <cell r="L81">
            <v>5.0599999999999996</v>
          </cell>
        </row>
        <row r="82">
          <cell r="C82">
            <v>123.8</v>
          </cell>
          <cell r="D82">
            <v>5.0999999999999996</v>
          </cell>
          <cell r="K82">
            <v>5.79</v>
          </cell>
          <cell r="L82">
            <v>5.0999999999999996</v>
          </cell>
        </row>
        <row r="83">
          <cell r="C83">
            <v>124.6</v>
          </cell>
          <cell r="D83">
            <v>5.0999999999999996</v>
          </cell>
          <cell r="K83">
            <v>5.73</v>
          </cell>
          <cell r="L83">
            <v>5.31</v>
          </cell>
        </row>
        <row r="84">
          <cell r="C84">
            <v>126</v>
          </cell>
          <cell r="D84">
            <v>5.5</v>
          </cell>
          <cell r="K84">
            <v>5.51</v>
          </cell>
          <cell r="L84">
            <v>5.31</v>
          </cell>
        </row>
        <row r="85">
          <cell r="C85">
            <v>126</v>
          </cell>
          <cell r="D85">
            <v>5.3</v>
          </cell>
          <cell r="K85">
            <v>5.58</v>
          </cell>
          <cell r="L85">
            <v>5.34</v>
          </cell>
        </row>
        <row r="86">
          <cell r="C86">
            <v>126.6</v>
          </cell>
          <cell r="D86">
            <v>5.5</v>
          </cell>
          <cell r="K86">
            <v>5.72</v>
          </cell>
          <cell r="L86">
            <v>5.33</v>
          </cell>
        </row>
        <row r="87">
          <cell r="C87">
            <v>126.8</v>
          </cell>
          <cell r="D87">
            <v>5.9</v>
          </cell>
          <cell r="K87">
            <v>5.8</v>
          </cell>
          <cell r="L87">
            <v>5.31</v>
          </cell>
        </row>
        <row r="88">
          <cell r="C88">
            <v>126.4</v>
          </cell>
          <cell r="D88">
            <v>6.1</v>
          </cell>
          <cell r="K88">
            <v>5.82</v>
          </cell>
          <cell r="L88">
            <v>5.39</v>
          </cell>
        </row>
        <row r="89">
          <cell r="C89">
            <v>127</v>
          </cell>
          <cell r="D89">
            <v>5.9</v>
          </cell>
          <cell r="K89">
            <v>5.93</v>
          </cell>
          <cell r="L89">
            <v>5.53</v>
          </cell>
        </row>
        <row r="90">
          <cell r="C90">
            <v>127.2</v>
          </cell>
          <cell r="D90">
            <v>6.1</v>
          </cell>
          <cell r="K90">
            <v>5.99</v>
          </cell>
          <cell r="L90">
            <v>5.49</v>
          </cell>
        </row>
        <row r="91">
          <cell r="C91">
            <v>129.4</v>
          </cell>
          <cell r="D91">
            <v>6.7</v>
          </cell>
          <cell r="K91">
            <v>6.03</v>
          </cell>
          <cell r="L91">
            <v>5.48</v>
          </cell>
        </row>
        <row r="92">
          <cell r="C92">
            <v>130.6</v>
          </cell>
          <cell r="D92">
            <v>6.9</v>
          </cell>
          <cell r="K92">
            <v>6.02</v>
          </cell>
          <cell r="L92">
            <v>5.38</v>
          </cell>
        </row>
        <row r="93">
          <cell r="C93">
            <v>129.6</v>
          </cell>
          <cell r="D93">
            <v>7.3</v>
          </cell>
          <cell r="K93">
            <v>6.02</v>
          </cell>
          <cell r="L93">
            <v>5.41</v>
          </cell>
        </row>
        <row r="94">
          <cell r="C94">
            <v>129.6</v>
          </cell>
          <cell r="D94">
            <v>6.9</v>
          </cell>
          <cell r="K94">
            <v>6.04</v>
          </cell>
          <cell r="L94">
            <v>5.42</v>
          </cell>
        </row>
        <row r="95">
          <cell r="C95">
            <v>129.80000000000001</v>
          </cell>
          <cell r="D95">
            <v>7.1</v>
          </cell>
          <cell r="K95">
            <v>6.11</v>
          </cell>
          <cell r="L95">
            <v>5.56</v>
          </cell>
        </row>
        <row r="96">
          <cell r="C96">
            <v>130.6</v>
          </cell>
          <cell r="D96">
            <v>6.9</v>
          </cell>
          <cell r="K96">
            <v>6.11</v>
          </cell>
          <cell r="L96">
            <v>5.5</v>
          </cell>
        </row>
        <row r="97">
          <cell r="C97">
            <v>130.4</v>
          </cell>
          <cell r="D97">
            <v>7.7</v>
          </cell>
          <cell r="K97">
            <v>6.09</v>
          </cell>
          <cell r="L97">
            <v>5.47</v>
          </cell>
        </row>
        <row r="98">
          <cell r="C98">
            <v>129.6</v>
          </cell>
          <cell r="D98">
            <v>8.3000000000000007</v>
          </cell>
          <cell r="K98">
            <v>6.07</v>
          </cell>
          <cell r="L98">
            <v>5.48</v>
          </cell>
        </row>
        <row r="99">
          <cell r="C99">
            <v>133.80000000000001</v>
          </cell>
          <cell r="D99">
            <v>9.9</v>
          </cell>
          <cell r="K99">
            <v>5.37</v>
          </cell>
          <cell r="L99">
            <v>5.48</v>
          </cell>
        </row>
        <row r="100">
          <cell r="C100">
            <v>136.6</v>
          </cell>
          <cell r="D100">
            <v>10.5</v>
          </cell>
          <cell r="K100">
            <v>4.2</v>
          </cell>
          <cell r="L100">
            <v>5.53</v>
          </cell>
        </row>
        <row r="101">
          <cell r="C101">
            <v>138.6</v>
          </cell>
          <cell r="D101">
            <v>11.5</v>
          </cell>
          <cell r="K101">
            <v>3.8</v>
          </cell>
          <cell r="L101">
            <v>5.58</v>
          </cell>
        </row>
        <row r="102">
          <cell r="C102">
            <v>141.6</v>
          </cell>
          <cell r="D102">
            <v>12.7</v>
          </cell>
          <cell r="K102">
            <v>3.46</v>
          </cell>
          <cell r="L102">
            <v>5.46</v>
          </cell>
        </row>
        <row r="103">
          <cell r="C103">
            <v>144</v>
          </cell>
          <cell r="D103">
            <v>12.3</v>
          </cell>
          <cell r="K103">
            <v>3.38</v>
          </cell>
          <cell r="L103">
            <v>5.47</v>
          </cell>
        </row>
        <row r="104">
          <cell r="C104">
            <v>146.80000000000001</v>
          </cell>
          <cell r="D104">
            <v>13.1</v>
          </cell>
          <cell r="K104">
            <v>3.44</v>
          </cell>
          <cell r="L104">
            <v>5.45</v>
          </cell>
        </row>
        <row r="105">
          <cell r="C105">
            <v>147</v>
          </cell>
          <cell r="D105">
            <v>13.5</v>
          </cell>
          <cell r="K105">
            <v>3.37</v>
          </cell>
          <cell r="L105">
            <v>5.49</v>
          </cell>
        </row>
        <row r="106">
          <cell r="C106">
            <v>146.80000000000001</v>
          </cell>
          <cell r="D106">
            <v>13.7</v>
          </cell>
          <cell r="K106">
            <v>3.44</v>
          </cell>
          <cell r="L106">
            <v>5.57</v>
          </cell>
        </row>
        <row r="107">
          <cell r="C107">
            <v>145.80000000000001</v>
          </cell>
          <cell r="D107">
            <v>14.5</v>
          </cell>
          <cell r="K107">
            <v>3.83</v>
          </cell>
          <cell r="L107">
            <v>5.65</v>
          </cell>
        </row>
        <row r="108">
          <cell r="C108">
            <v>145.4</v>
          </cell>
          <cell r="D108">
            <v>14.3</v>
          </cell>
          <cell r="K108">
            <v>4.05</v>
          </cell>
          <cell r="L108">
            <v>5.65</v>
          </cell>
        </row>
        <row r="109">
          <cell r="C109">
            <v>144.4</v>
          </cell>
          <cell r="D109">
            <v>13.3</v>
          </cell>
          <cell r="K109">
            <v>4.4800000000000004</v>
          </cell>
        </row>
        <row r="110">
          <cell r="C110">
            <v>143.6</v>
          </cell>
          <cell r="D110">
            <v>13.3</v>
          </cell>
          <cell r="K110">
            <v>5.4</v>
          </cell>
        </row>
        <row r="111">
          <cell r="C111">
            <v>143.19999999999999</v>
          </cell>
          <cell r="D111">
            <v>13.1</v>
          </cell>
          <cell r="K111">
            <v>5.64</v>
          </cell>
          <cell r="L111">
            <v>5.44</v>
          </cell>
        </row>
        <row r="112">
          <cell r="C112">
            <v>143.80000000000001</v>
          </cell>
          <cell r="D112">
            <v>12.5</v>
          </cell>
          <cell r="K112">
            <v>5.49</v>
          </cell>
          <cell r="L112">
            <v>5.51</v>
          </cell>
        </row>
        <row r="113">
          <cell r="C113">
            <v>145.4</v>
          </cell>
          <cell r="D113">
            <v>12.9</v>
          </cell>
          <cell r="K113">
            <v>4.79</v>
          </cell>
          <cell r="L113">
            <v>5.62</v>
          </cell>
        </row>
        <row r="114">
          <cell r="C114">
            <v>148.4</v>
          </cell>
          <cell r="D114">
            <v>12.1</v>
          </cell>
          <cell r="K114">
            <v>4.6500000000000004</v>
          </cell>
          <cell r="L114">
            <v>5.68</v>
          </cell>
        </row>
        <row r="115">
          <cell r="C115">
            <v>151.19999999999999</v>
          </cell>
          <cell r="D115">
            <v>13.3</v>
          </cell>
          <cell r="K115">
            <v>4.46</v>
          </cell>
          <cell r="L115">
            <v>5.74</v>
          </cell>
        </row>
        <row r="116">
          <cell r="C116">
            <v>152.4</v>
          </cell>
          <cell r="D116">
            <v>13.7</v>
          </cell>
          <cell r="K116">
            <v>4.68</v>
          </cell>
          <cell r="L116">
            <v>5.6</v>
          </cell>
        </row>
        <row r="117">
          <cell r="C117">
            <v>150.19999999999999</v>
          </cell>
          <cell r="D117">
            <v>13.7</v>
          </cell>
          <cell r="K117">
            <v>5.28</v>
          </cell>
          <cell r="L117">
            <v>5.61</v>
          </cell>
        </row>
        <row r="118">
          <cell r="C118">
            <v>149.80000000000001</v>
          </cell>
          <cell r="D118">
            <v>13.9</v>
          </cell>
          <cell r="K118">
            <v>5.91</v>
          </cell>
          <cell r="L118">
            <v>5.67</v>
          </cell>
        </row>
        <row r="119">
          <cell r="C119">
            <v>149.6</v>
          </cell>
          <cell r="D119">
            <v>14.1</v>
          </cell>
          <cell r="K119">
            <v>6.05</v>
          </cell>
          <cell r="L119">
            <v>5.67</v>
          </cell>
        </row>
        <row r="120">
          <cell r="C120">
            <v>149.19999999999999</v>
          </cell>
          <cell r="D120">
            <v>14.1</v>
          </cell>
          <cell r="K120">
            <v>6.07</v>
          </cell>
          <cell r="L120">
            <v>5.6</v>
          </cell>
        </row>
        <row r="121">
          <cell r="C121">
            <v>149.4</v>
          </cell>
          <cell r="D121">
            <v>13.9</v>
          </cell>
          <cell r="K121">
            <v>6.03</v>
          </cell>
        </row>
        <row r="122">
          <cell r="C122">
            <v>150.80000000000001</v>
          </cell>
          <cell r="D122">
            <v>14.1</v>
          </cell>
          <cell r="K122">
            <v>5.57</v>
          </cell>
        </row>
        <row r="123">
          <cell r="C123">
            <v>151</v>
          </cell>
          <cell r="D123">
            <v>14.3</v>
          </cell>
          <cell r="K123">
            <v>5.39</v>
          </cell>
          <cell r="L123">
            <v>5.27</v>
          </cell>
        </row>
        <row r="124">
          <cell r="C124">
            <v>150.6</v>
          </cell>
          <cell r="D124">
            <v>14.3</v>
          </cell>
          <cell r="K124">
            <v>5.56</v>
          </cell>
          <cell r="L124">
            <v>5.37</v>
          </cell>
        </row>
        <row r="125">
          <cell r="C125">
            <v>150.19999999999999</v>
          </cell>
          <cell r="D125">
            <v>14.3</v>
          </cell>
          <cell r="K125">
            <v>5.82</v>
          </cell>
        </row>
        <row r="126">
          <cell r="C126">
            <v>150.4</v>
          </cell>
          <cell r="D126">
            <v>14.3</v>
          </cell>
          <cell r="K126">
            <v>5.99</v>
          </cell>
          <cell r="L126">
            <v>5.65</v>
          </cell>
        </row>
        <row r="127">
          <cell r="C127">
            <v>151.19999999999999</v>
          </cell>
          <cell r="D127">
            <v>14.7</v>
          </cell>
          <cell r="K127">
            <v>6.07</v>
          </cell>
          <cell r="L127">
            <v>5.67</v>
          </cell>
        </row>
        <row r="128">
          <cell r="C128">
            <v>150.4</v>
          </cell>
          <cell r="D128">
            <v>15.1</v>
          </cell>
          <cell r="K128">
            <v>6.04</v>
          </cell>
          <cell r="L128">
            <v>5.54</v>
          </cell>
        </row>
        <row r="129">
          <cell r="C129">
            <v>149.4</v>
          </cell>
          <cell r="D129">
            <v>15.3</v>
          </cell>
          <cell r="K129">
            <v>6.12</v>
          </cell>
          <cell r="L129">
            <v>5.5</v>
          </cell>
        </row>
        <row r="130">
          <cell r="C130">
            <v>149.4</v>
          </cell>
          <cell r="D130">
            <v>15.3</v>
          </cell>
          <cell r="K130">
            <v>6.14</v>
          </cell>
          <cell r="L130">
            <v>5.62</v>
          </cell>
        </row>
        <row r="131">
          <cell r="C131">
            <v>149.4</v>
          </cell>
          <cell r="D131">
            <v>15.3</v>
          </cell>
          <cell r="K131">
            <v>6.1</v>
          </cell>
          <cell r="L131">
            <v>5.76</v>
          </cell>
        </row>
        <row r="132">
          <cell r="C132">
            <v>149.6</v>
          </cell>
          <cell r="D132">
            <v>15.7</v>
          </cell>
          <cell r="K132">
            <v>6.02</v>
          </cell>
          <cell r="L132">
            <v>5.9</v>
          </cell>
        </row>
        <row r="133">
          <cell r="C133">
            <v>149.80000000000001</v>
          </cell>
          <cell r="D133">
            <v>15.9</v>
          </cell>
          <cell r="K133">
            <v>5.92</v>
          </cell>
          <cell r="L133">
            <v>5.81</v>
          </cell>
        </row>
        <row r="134">
          <cell r="C134">
            <v>150.19999999999999</v>
          </cell>
          <cell r="D134">
            <v>16.5</v>
          </cell>
          <cell r="K134">
            <v>5.65</v>
          </cell>
          <cell r="L134">
            <v>5.68</v>
          </cell>
        </row>
        <row r="135">
          <cell r="C135">
            <v>150.4</v>
          </cell>
          <cell r="D135">
            <v>17.100000000000001</v>
          </cell>
          <cell r="K135">
            <v>5.57</v>
          </cell>
          <cell r="L135">
            <v>5.65</v>
          </cell>
        </row>
        <row r="136">
          <cell r="C136">
            <v>150.80000000000001</v>
          </cell>
          <cell r="D136">
            <v>17.100000000000001</v>
          </cell>
          <cell r="K136">
            <v>5.62</v>
          </cell>
          <cell r="L136">
            <v>5.67</v>
          </cell>
        </row>
        <row r="137">
          <cell r="C137">
            <v>150.80000000000001</v>
          </cell>
          <cell r="D137">
            <v>17.899999999999999</v>
          </cell>
          <cell r="K137">
            <v>5.56</v>
          </cell>
          <cell r="L137">
            <v>5.74</v>
          </cell>
        </row>
        <row r="138">
          <cell r="C138">
            <v>150.4</v>
          </cell>
          <cell r="D138">
            <v>17.7</v>
          </cell>
          <cell r="K138">
            <v>5.63</v>
          </cell>
          <cell r="L138">
            <v>5.78</v>
          </cell>
        </row>
        <row r="139">
          <cell r="C139">
            <v>151.19999999999999</v>
          </cell>
          <cell r="D139">
            <v>18.7</v>
          </cell>
          <cell r="K139">
            <v>5.7</v>
          </cell>
          <cell r="L139">
            <v>5.7</v>
          </cell>
        </row>
        <row r="140">
          <cell r="C140">
            <v>152.4</v>
          </cell>
          <cell r="D140">
            <v>18.7</v>
          </cell>
          <cell r="K140">
            <v>5.7</v>
          </cell>
          <cell r="L140">
            <v>5.62</v>
          </cell>
        </row>
        <row r="141">
          <cell r="C141">
            <v>151.80000000000001</v>
          </cell>
          <cell r="D141">
            <v>19.100000000000001</v>
          </cell>
          <cell r="K141">
            <v>5.7</v>
          </cell>
          <cell r="L141">
            <v>5.61</v>
          </cell>
        </row>
        <row r="142">
          <cell r="C142">
            <v>151.19999999999999</v>
          </cell>
          <cell r="D142">
            <v>19.5</v>
          </cell>
          <cell r="K142">
            <v>5.71</v>
          </cell>
          <cell r="L142">
            <v>5.58</v>
          </cell>
        </row>
        <row r="143">
          <cell r="C143">
            <v>151.80000000000001</v>
          </cell>
          <cell r="D143">
            <v>20.100000000000001</v>
          </cell>
          <cell r="K143">
            <v>5.69</v>
          </cell>
          <cell r="L143">
            <v>5.69</v>
          </cell>
        </row>
        <row r="144">
          <cell r="C144">
            <v>152.19999999999999</v>
          </cell>
          <cell r="D144">
            <v>20.100000000000001</v>
          </cell>
          <cell r="K144">
            <v>5.63</v>
          </cell>
          <cell r="L144">
            <v>5.7</v>
          </cell>
        </row>
        <row r="145">
          <cell r="C145">
            <v>152.19999999999999</v>
          </cell>
          <cell r="D145">
            <v>20.5</v>
          </cell>
          <cell r="K145">
            <v>5.57</v>
          </cell>
          <cell r="L145">
            <v>5.58</v>
          </cell>
        </row>
        <row r="146">
          <cell r="C146">
            <v>152.19999999999999</v>
          </cell>
          <cell r="D146">
            <v>20.5</v>
          </cell>
          <cell r="L146">
            <v>5.47</v>
          </cell>
        </row>
        <row r="147">
          <cell r="C147">
            <v>152.6</v>
          </cell>
          <cell r="D147">
            <v>20.5</v>
          </cell>
          <cell r="K147">
            <v>5.62</v>
          </cell>
          <cell r="L147">
            <v>5.5</v>
          </cell>
        </row>
        <row r="148">
          <cell r="C148">
            <v>152.6</v>
          </cell>
          <cell r="D148">
            <v>20.7</v>
          </cell>
          <cell r="K148">
            <v>5.67</v>
          </cell>
          <cell r="L148">
            <v>5.58</v>
          </cell>
        </row>
        <row r="149">
          <cell r="C149">
            <v>152.4</v>
          </cell>
          <cell r="D149">
            <v>21.1</v>
          </cell>
          <cell r="L149">
            <v>5.65</v>
          </cell>
        </row>
        <row r="150">
          <cell r="C150">
            <v>152.80000000000001</v>
          </cell>
          <cell r="D150">
            <v>21.5</v>
          </cell>
          <cell r="K150">
            <v>5.76</v>
          </cell>
          <cell r="L150">
            <v>5.57</v>
          </cell>
        </row>
        <row r="151">
          <cell r="C151">
            <v>154</v>
          </cell>
          <cell r="D151">
            <v>22.3</v>
          </cell>
          <cell r="K151">
            <v>5.82</v>
          </cell>
          <cell r="L151">
            <v>5.53</v>
          </cell>
        </row>
        <row r="152">
          <cell r="C152">
            <v>156.80000000000001</v>
          </cell>
          <cell r="D152">
            <v>21.9</v>
          </cell>
          <cell r="K152">
            <v>5.84</v>
          </cell>
          <cell r="L152">
            <v>5.45</v>
          </cell>
        </row>
        <row r="153">
          <cell r="C153">
            <v>156.80000000000001</v>
          </cell>
          <cell r="D153">
            <v>21.9</v>
          </cell>
          <cell r="K153">
            <v>5.81</v>
          </cell>
          <cell r="L153">
            <v>5.35</v>
          </cell>
        </row>
        <row r="154">
          <cell r="C154">
            <v>156.80000000000001</v>
          </cell>
          <cell r="D154">
            <v>22.1</v>
          </cell>
          <cell r="K154">
            <v>5.92</v>
          </cell>
          <cell r="L154">
            <v>5.39</v>
          </cell>
        </row>
        <row r="155">
          <cell r="C155">
            <v>156.80000000000001</v>
          </cell>
          <cell r="D155">
            <v>22.3</v>
          </cell>
          <cell r="K155">
            <v>5.92</v>
          </cell>
          <cell r="L155">
            <v>5.41</v>
          </cell>
        </row>
        <row r="156">
          <cell r="C156">
            <v>156.80000000000001</v>
          </cell>
          <cell r="D156">
            <v>22.5</v>
          </cell>
          <cell r="K156">
            <v>5.9</v>
          </cell>
          <cell r="L156">
            <v>5.1100000000000003</v>
          </cell>
        </row>
        <row r="157">
          <cell r="C157">
            <v>156.80000000000001</v>
          </cell>
          <cell r="D157">
            <v>25.1</v>
          </cell>
          <cell r="K157">
            <v>5.86</v>
          </cell>
          <cell r="L157">
            <v>4.95</v>
          </cell>
        </row>
        <row r="158">
          <cell r="C158">
            <v>157.80000000000001</v>
          </cell>
          <cell r="D158">
            <v>25.9</v>
          </cell>
          <cell r="K158">
            <v>5.87</v>
          </cell>
          <cell r="L158">
            <v>4.9800000000000004</v>
          </cell>
        </row>
        <row r="159">
          <cell r="C159">
            <v>157.80000000000001</v>
          </cell>
          <cell r="D159">
            <v>26.5</v>
          </cell>
          <cell r="K159">
            <v>5.94</v>
          </cell>
          <cell r="L159">
            <v>5.14</v>
          </cell>
        </row>
        <row r="160">
          <cell r="C160">
            <v>158</v>
          </cell>
          <cell r="D160">
            <v>27.1</v>
          </cell>
          <cell r="K160">
            <v>5.97</v>
          </cell>
          <cell r="L160">
            <v>5.31</v>
          </cell>
        </row>
        <row r="161">
          <cell r="C161">
            <v>158.4</v>
          </cell>
          <cell r="D161">
            <v>27.7</v>
          </cell>
          <cell r="K161">
            <v>5.97</v>
          </cell>
          <cell r="L161">
            <v>5.43</v>
          </cell>
        </row>
        <row r="162">
          <cell r="C162">
            <v>159.6</v>
          </cell>
          <cell r="D162">
            <v>27.7</v>
          </cell>
          <cell r="K162">
            <v>5.98</v>
          </cell>
          <cell r="L162">
            <v>5.46</v>
          </cell>
        </row>
        <row r="163">
          <cell r="C163">
            <v>160.19999999999999</v>
          </cell>
          <cell r="D163">
            <v>28.9</v>
          </cell>
          <cell r="K163">
            <v>5.94</v>
          </cell>
          <cell r="L163">
            <v>5.63</v>
          </cell>
        </row>
        <row r="164">
          <cell r="C164">
            <v>161.4</v>
          </cell>
          <cell r="D164">
            <v>28.5</v>
          </cell>
          <cell r="K164">
            <v>5.9</v>
          </cell>
          <cell r="L164">
            <v>5.6</v>
          </cell>
        </row>
        <row r="165">
          <cell r="C165">
            <v>161.19999999999999</v>
          </cell>
          <cell r="D165">
            <v>27.5</v>
          </cell>
          <cell r="K165">
            <v>5.86</v>
          </cell>
          <cell r="L165">
            <v>5.54</v>
          </cell>
        </row>
        <row r="166">
          <cell r="C166">
            <v>160.4</v>
          </cell>
          <cell r="D166">
            <v>28.5</v>
          </cell>
          <cell r="K166">
            <v>5.9</v>
          </cell>
          <cell r="L166">
            <v>5.57</v>
          </cell>
        </row>
        <row r="167">
          <cell r="C167">
            <v>160.4</v>
          </cell>
          <cell r="D167">
            <v>28.9</v>
          </cell>
          <cell r="K167">
            <v>5.89</v>
          </cell>
          <cell r="L167">
            <v>5.7</v>
          </cell>
        </row>
        <row r="168">
          <cell r="C168">
            <v>160.6</v>
          </cell>
          <cell r="D168">
            <v>29.1</v>
          </cell>
          <cell r="K168">
            <v>5.86</v>
          </cell>
          <cell r="L168">
            <v>5.74</v>
          </cell>
        </row>
        <row r="169">
          <cell r="C169">
            <v>164.6</v>
          </cell>
          <cell r="D169">
            <v>30.7</v>
          </cell>
          <cell r="K169">
            <v>5.71</v>
          </cell>
          <cell r="L169">
            <v>5.66</v>
          </cell>
        </row>
        <row r="170">
          <cell r="C170">
            <v>165.4</v>
          </cell>
          <cell r="D170">
            <v>31.5</v>
          </cell>
          <cell r="K170">
            <v>5.44</v>
          </cell>
          <cell r="L170">
            <v>5.63</v>
          </cell>
        </row>
        <row r="171">
          <cell r="C171">
            <v>165.4</v>
          </cell>
          <cell r="D171">
            <v>33.299999999999997</v>
          </cell>
          <cell r="K171">
            <v>5.68</v>
          </cell>
          <cell r="L171">
            <v>5.64</v>
          </cell>
        </row>
        <row r="172">
          <cell r="C172">
            <v>165.2</v>
          </cell>
          <cell r="D172">
            <v>32.9</v>
          </cell>
          <cell r="K172">
            <v>5.7</v>
          </cell>
          <cell r="L172">
            <v>5.69</v>
          </cell>
        </row>
        <row r="173">
          <cell r="C173">
            <v>166.2</v>
          </cell>
          <cell r="D173">
            <v>33.299999999999997</v>
          </cell>
          <cell r="K173">
            <v>5.8</v>
          </cell>
          <cell r="L173">
            <v>5.69</v>
          </cell>
        </row>
        <row r="174">
          <cell r="C174">
            <v>166.2</v>
          </cell>
          <cell r="D174">
            <v>34.299999999999997</v>
          </cell>
          <cell r="K174">
            <v>5.88</v>
          </cell>
          <cell r="L174">
            <v>5.64</v>
          </cell>
        </row>
        <row r="175">
          <cell r="C175">
            <v>168.2</v>
          </cell>
          <cell r="D175">
            <v>34.700000000000003</v>
          </cell>
          <cell r="K175">
            <v>5.9</v>
          </cell>
          <cell r="L175">
            <v>5.68</v>
          </cell>
        </row>
        <row r="176">
          <cell r="C176">
            <v>169.2</v>
          </cell>
          <cell r="D176">
            <v>35.299999999999997</v>
          </cell>
          <cell r="K176">
            <v>6</v>
          </cell>
          <cell r="L176">
            <v>5.58</v>
          </cell>
        </row>
        <row r="177">
          <cell r="C177">
            <v>168.8</v>
          </cell>
          <cell r="D177">
            <v>35.299999999999997</v>
          </cell>
          <cell r="K177">
            <v>5.91</v>
          </cell>
          <cell r="L177">
            <v>5.5</v>
          </cell>
        </row>
        <row r="178">
          <cell r="C178">
            <v>168.2</v>
          </cell>
          <cell r="D178">
            <v>35.299999999999997</v>
          </cell>
          <cell r="K178">
            <v>5.95</v>
          </cell>
          <cell r="L178">
            <v>5.33</v>
          </cell>
        </row>
        <row r="179">
          <cell r="C179">
            <v>168.2</v>
          </cell>
          <cell r="D179">
            <v>35.299999999999997</v>
          </cell>
          <cell r="K179">
            <v>5.95</v>
          </cell>
          <cell r="L179">
            <v>5.48</v>
          </cell>
        </row>
        <row r="180">
          <cell r="C180">
            <v>168.6</v>
          </cell>
          <cell r="D180">
            <v>35.299999999999997</v>
          </cell>
          <cell r="K180">
            <v>5.97</v>
          </cell>
          <cell r="L180">
            <v>5.53</v>
          </cell>
        </row>
        <row r="181">
          <cell r="C181">
            <v>170</v>
          </cell>
          <cell r="D181">
            <v>35.700000000000003</v>
          </cell>
          <cell r="K181">
            <v>5.73</v>
          </cell>
          <cell r="L181">
            <v>5.41</v>
          </cell>
        </row>
        <row r="182">
          <cell r="C182">
            <v>170.2</v>
          </cell>
          <cell r="D182">
            <v>36.1</v>
          </cell>
          <cell r="K182">
            <v>5.67</v>
          </cell>
          <cell r="L182">
            <v>5.3</v>
          </cell>
        </row>
        <row r="183">
          <cell r="C183">
            <v>168.9</v>
          </cell>
          <cell r="D183">
            <v>36</v>
          </cell>
          <cell r="K183">
            <v>5.73</v>
          </cell>
          <cell r="L183">
            <v>5.25</v>
          </cell>
        </row>
        <row r="184">
          <cell r="C184">
            <v>170.6</v>
          </cell>
          <cell r="D184">
            <v>36.799999999999997</v>
          </cell>
          <cell r="K184">
            <v>5.81</v>
          </cell>
          <cell r="L184">
            <v>5.39</v>
          </cell>
        </row>
        <row r="185">
          <cell r="C185">
            <v>171.1</v>
          </cell>
          <cell r="D185">
            <v>37.1</v>
          </cell>
          <cell r="K185">
            <v>5.75</v>
          </cell>
          <cell r="L185">
            <v>5.46</v>
          </cell>
        </row>
        <row r="186">
          <cell r="C186">
            <v>172.9</v>
          </cell>
          <cell r="D186">
            <v>37.5</v>
          </cell>
          <cell r="K186">
            <v>5.74</v>
          </cell>
          <cell r="L186">
            <v>5.4</v>
          </cell>
        </row>
        <row r="187">
          <cell r="C187">
            <v>174.6</v>
          </cell>
          <cell r="D187">
            <v>38.200000000000003</v>
          </cell>
          <cell r="K187">
            <v>5.68</v>
          </cell>
          <cell r="L187">
            <v>5.4</v>
          </cell>
        </row>
        <row r="188">
          <cell r="C188">
            <v>176.1</v>
          </cell>
          <cell r="D188">
            <v>38.799999999999997</v>
          </cell>
          <cell r="K188">
            <v>5.64</v>
          </cell>
          <cell r="L188">
            <v>5.23</v>
          </cell>
        </row>
        <row r="189">
          <cell r="C189">
            <v>165.7</v>
          </cell>
          <cell r="D189">
            <v>34.299999999999997</v>
          </cell>
          <cell r="K189">
            <v>5.62</v>
          </cell>
          <cell r="L189">
            <v>5.19</v>
          </cell>
        </row>
        <row r="190">
          <cell r="C190">
            <v>165.7</v>
          </cell>
          <cell r="D190">
            <v>34.200000000000003</v>
          </cell>
          <cell r="K190">
            <v>5.76</v>
          </cell>
          <cell r="L190">
            <v>5.28</v>
          </cell>
        </row>
        <row r="191">
          <cell r="C191">
            <v>165.9</v>
          </cell>
          <cell r="D191">
            <v>34.200000000000003</v>
          </cell>
          <cell r="K191">
            <v>5.79</v>
          </cell>
          <cell r="L191">
            <v>5.45</v>
          </cell>
        </row>
        <row r="192">
          <cell r="C192">
            <v>166.3</v>
          </cell>
          <cell r="D192">
            <v>34.4</v>
          </cell>
          <cell r="K192">
            <v>5.77</v>
          </cell>
          <cell r="L192">
            <v>5.47</v>
          </cell>
        </row>
        <row r="193">
          <cell r="C193">
            <v>166.4</v>
          </cell>
          <cell r="D193">
            <v>34.700000000000003</v>
          </cell>
          <cell r="K193">
            <v>5.75</v>
          </cell>
          <cell r="L193">
            <v>5.37</v>
          </cell>
        </row>
        <row r="194">
          <cell r="C194">
            <v>165.9</v>
          </cell>
          <cell r="D194">
            <v>34.799999999999997</v>
          </cell>
          <cell r="K194">
            <v>5.78</v>
          </cell>
          <cell r="L194">
            <v>5.29</v>
          </cell>
        </row>
        <row r="195">
          <cell r="C195">
            <v>166.7</v>
          </cell>
          <cell r="D195">
            <v>34.799999999999997</v>
          </cell>
          <cell r="K195">
            <v>5.81</v>
          </cell>
          <cell r="L195">
            <v>5.34</v>
          </cell>
        </row>
        <row r="196">
          <cell r="C196">
            <v>166.2</v>
          </cell>
          <cell r="D196">
            <v>34.9</v>
          </cell>
          <cell r="K196">
            <v>5.76</v>
          </cell>
          <cell r="L196">
            <v>5.36</v>
          </cell>
        </row>
        <row r="197">
          <cell r="C197">
            <v>167.2</v>
          </cell>
          <cell r="D197">
            <v>34</v>
          </cell>
          <cell r="K197">
            <v>5.84</v>
          </cell>
          <cell r="L197">
            <v>5.38</v>
          </cell>
        </row>
        <row r="198">
          <cell r="C198">
            <v>169.1</v>
          </cell>
          <cell r="D198">
            <v>34.4</v>
          </cell>
          <cell r="K198">
            <v>5.87</v>
          </cell>
          <cell r="L198">
            <v>5.45</v>
          </cell>
        </row>
        <row r="199">
          <cell r="C199">
            <v>171.6</v>
          </cell>
          <cell r="D199">
            <v>34.200000000000003</v>
          </cell>
          <cell r="K199">
            <v>5.83</v>
          </cell>
          <cell r="L199">
            <v>5.54</v>
          </cell>
        </row>
        <row r="200">
          <cell r="C200">
            <v>173.9</v>
          </cell>
          <cell r="D200">
            <v>34.5</v>
          </cell>
          <cell r="K200">
            <v>5.78</v>
          </cell>
          <cell r="L200">
            <v>5.36</v>
          </cell>
        </row>
        <row r="201">
          <cell r="C201">
            <v>172.8</v>
          </cell>
          <cell r="D201">
            <v>34.5</v>
          </cell>
          <cell r="K201">
            <v>5.76</v>
          </cell>
          <cell r="L201">
            <v>5.27</v>
          </cell>
        </row>
        <row r="202">
          <cell r="C202">
            <v>172.6</v>
          </cell>
          <cell r="D202">
            <v>35.1</v>
          </cell>
          <cell r="K202">
            <v>5.81</v>
          </cell>
          <cell r="L202">
            <v>5.16</v>
          </cell>
        </row>
        <row r="203">
          <cell r="C203">
            <v>172.7</v>
          </cell>
          <cell r="D203">
            <v>35.299999999999997</v>
          </cell>
          <cell r="K203">
            <v>5.88</v>
          </cell>
          <cell r="L203">
            <v>5.29</v>
          </cell>
        </row>
        <row r="204">
          <cell r="C204">
            <v>173.3</v>
          </cell>
          <cell r="D204">
            <v>35.700000000000003</v>
          </cell>
          <cell r="K204">
            <v>5.82</v>
          </cell>
          <cell r="L204">
            <v>5.3</v>
          </cell>
        </row>
        <row r="205">
          <cell r="C205">
            <v>174.1</v>
          </cell>
          <cell r="D205">
            <v>36.1</v>
          </cell>
          <cell r="K205">
            <v>5.74</v>
          </cell>
          <cell r="L205">
            <v>5.32</v>
          </cell>
        </row>
        <row r="206">
          <cell r="C206">
            <v>174.3</v>
          </cell>
          <cell r="D206">
            <v>36.4</v>
          </cell>
          <cell r="K206">
            <v>5.68</v>
          </cell>
          <cell r="L206">
            <v>5.37</v>
          </cell>
        </row>
        <row r="207">
          <cell r="C207">
            <v>174.3</v>
          </cell>
          <cell r="D207">
            <v>36.6</v>
          </cell>
          <cell r="K207">
            <v>5.76</v>
          </cell>
          <cell r="L207">
            <v>5.39</v>
          </cell>
        </row>
        <row r="208">
          <cell r="C208">
            <v>174.1</v>
          </cell>
          <cell r="D208">
            <v>36.6</v>
          </cell>
          <cell r="K208">
            <v>5.76</v>
          </cell>
          <cell r="L208">
            <v>5.43</v>
          </cell>
        </row>
        <row r="209">
          <cell r="C209">
            <v>173.9</v>
          </cell>
          <cell r="D209">
            <v>36.6</v>
          </cell>
          <cell r="K209">
            <v>5.76</v>
          </cell>
          <cell r="L209">
            <v>5.42</v>
          </cell>
        </row>
        <row r="210">
          <cell r="C210">
            <v>175.2</v>
          </cell>
          <cell r="D210">
            <v>37.1</v>
          </cell>
          <cell r="K210">
            <v>5.76</v>
          </cell>
          <cell r="L210">
            <v>5.32</v>
          </cell>
        </row>
        <row r="211">
          <cell r="C211">
            <v>176.3</v>
          </cell>
          <cell r="D211">
            <v>37.6</v>
          </cell>
          <cell r="K211">
            <v>5.7</v>
          </cell>
          <cell r="L211">
            <v>5.37</v>
          </cell>
        </row>
        <row r="212">
          <cell r="C212">
            <v>177.4</v>
          </cell>
          <cell r="D212">
            <v>38</v>
          </cell>
          <cell r="K212">
            <v>5.65</v>
          </cell>
          <cell r="L212">
            <v>5.31</v>
          </cell>
        </row>
        <row r="213">
          <cell r="C213">
            <v>177</v>
          </cell>
          <cell r="D213">
            <v>38.5</v>
          </cell>
          <cell r="K213">
            <v>5.79</v>
          </cell>
          <cell r="L213">
            <v>5.41</v>
          </cell>
        </row>
        <row r="214">
          <cell r="C214">
            <v>177</v>
          </cell>
          <cell r="D214">
            <v>38.799999999999997</v>
          </cell>
          <cell r="K214">
            <v>6.43</v>
          </cell>
          <cell r="L214">
            <v>6.13</v>
          </cell>
        </row>
        <row r="215">
          <cell r="C215">
            <v>176.9</v>
          </cell>
          <cell r="D215">
            <v>38.9</v>
          </cell>
          <cell r="K215">
            <v>5.69</v>
          </cell>
          <cell r="L215">
            <v>5.74</v>
          </cell>
        </row>
        <row r="216">
          <cell r="C216">
            <v>177.2</v>
          </cell>
          <cell r="D216">
            <v>39.200000000000003</v>
          </cell>
          <cell r="K216">
            <v>5.68</v>
          </cell>
          <cell r="L216">
            <v>5.27</v>
          </cell>
        </row>
        <row r="217">
          <cell r="C217">
            <v>177.3</v>
          </cell>
          <cell r="D217">
            <v>39.4</v>
          </cell>
          <cell r="K217">
            <v>5.66</v>
          </cell>
          <cell r="L217">
            <v>5.07</v>
          </cell>
        </row>
        <row r="218">
          <cell r="C218">
            <v>176.9</v>
          </cell>
          <cell r="D218">
            <v>39.5</v>
          </cell>
          <cell r="K218">
            <v>5.69</v>
          </cell>
          <cell r="L218">
            <v>4.9800000000000004</v>
          </cell>
        </row>
        <row r="219">
          <cell r="C219">
            <v>177.4</v>
          </cell>
          <cell r="D219">
            <v>39.6</v>
          </cell>
          <cell r="K219">
            <v>5.68</v>
          </cell>
          <cell r="L219">
            <v>4.91</v>
          </cell>
        </row>
        <row r="220">
          <cell r="C220">
            <v>177.6</v>
          </cell>
          <cell r="D220">
            <v>39.700000000000003</v>
          </cell>
          <cell r="K220">
            <v>5.75</v>
          </cell>
          <cell r="L220">
            <v>4.9000000000000004</v>
          </cell>
        </row>
        <row r="221">
          <cell r="C221">
            <v>178.2</v>
          </cell>
          <cell r="D221">
            <v>40.1</v>
          </cell>
          <cell r="K221">
            <v>5.63</v>
          </cell>
          <cell r="L221">
            <v>4.88</v>
          </cell>
        </row>
        <row r="222">
          <cell r="C222">
            <v>178.4</v>
          </cell>
          <cell r="D222">
            <v>40.200000000000003</v>
          </cell>
          <cell r="K222">
            <v>5.72</v>
          </cell>
          <cell r="L222">
            <v>4.87</v>
          </cell>
        </row>
        <row r="223">
          <cell r="C223">
            <v>180.4</v>
          </cell>
          <cell r="D223">
            <v>40.9</v>
          </cell>
          <cell r="K223">
            <v>5.69</v>
          </cell>
          <cell r="L223">
            <v>4.91</v>
          </cell>
        </row>
        <row r="224">
          <cell r="C224">
            <v>182.2</v>
          </cell>
          <cell r="D224">
            <v>38.5</v>
          </cell>
          <cell r="K224">
            <v>5.6</v>
          </cell>
          <cell r="L224">
            <v>4.76</v>
          </cell>
        </row>
        <row r="225">
          <cell r="C225">
            <v>180.8</v>
          </cell>
          <cell r="D225">
            <v>41.3</v>
          </cell>
          <cell r="K225">
            <v>5.61</v>
          </cell>
          <cell r="L225">
            <v>4.71</v>
          </cell>
        </row>
        <row r="226">
          <cell r="C226">
            <v>181.3</v>
          </cell>
          <cell r="D226">
            <v>41.6</v>
          </cell>
          <cell r="K226">
            <v>5.73</v>
          </cell>
          <cell r="L226">
            <v>4.8899999999999997</v>
          </cell>
        </row>
        <row r="227">
          <cell r="C227">
            <v>181.2</v>
          </cell>
          <cell r="D227">
            <v>42</v>
          </cell>
          <cell r="K227">
            <v>5.71</v>
          </cell>
          <cell r="L227">
            <v>4.91</v>
          </cell>
        </row>
        <row r="228">
          <cell r="C228">
            <v>181.4</v>
          </cell>
          <cell r="D228">
            <v>42.3</v>
          </cell>
          <cell r="K228">
            <v>5.67</v>
          </cell>
          <cell r="L228">
            <v>4.9000000000000004</v>
          </cell>
        </row>
        <row r="229">
          <cell r="C229">
            <v>181.6</v>
          </cell>
          <cell r="D229">
            <v>42.4</v>
          </cell>
          <cell r="K229">
            <v>5.69</v>
          </cell>
          <cell r="L229">
            <v>4.87</v>
          </cell>
        </row>
        <row r="230">
          <cell r="C230">
            <v>181.7</v>
          </cell>
          <cell r="D230">
            <v>42.6</v>
          </cell>
          <cell r="K230">
            <v>5.61</v>
          </cell>
          <cell r="L230">
            <v>4.82</v>
          </cell>
        </row>
        <row r="231">
          <cell r="C231">
            <v>181.4</v>
          </cell>
          <cell r="D231">
            <v>42.8</v>
          </cell>
          <cell r="K231">
            <v>5.64</v>
          </cell>
          <cell r="L231">
            <v>4.82</v>
          </cell>
        </row>
        <row r="232">
          <cell r="C232">
            <v>181.7</v>
          </cell>
          <cell r="D232">
            <v>43</v>
          </cell>
          <cell r="K232">
            <v>5.67</v>
          </cell>
          <cell r="L232">
            <v>4.8899999999999997</v>
          </cell>
        </row>
        <row r="233">
          <cell r="C233">
            <v>182.2</v>
          </cell>
          <cell r="D233">
            <v>43.2</v>
          </cell>
          <cell r="K233">
            <v>5.69</v>
          </cell>
          <cell r="L233">
            <v>4.8600000000000003</v>
          </cell>
        </row>
        <row r="234">
          <cell r="C234">
            <v>182.7</v>
          </cell>
          <cell r="D234">
            <v>43.8</v>
          </cell>
          <cell r="K234">
            <v>5.7</v>
          </cell>
          <cell r="L234">
            <v>4.8099999999999996</v>
          </cell>
        </row>
        <row r="235">
          <cell r="C235">
            <v>184</v>
          </cell>
          <cell r="D235">
            <v>44</v>
          </cell>
          <cell r="K235">
            <v>5.73</v>
          </cell>
          <cell r="L235">
            <v>4.8499999999999996</v>
          </cell>
        </row>
        <row r="236">
          <cell r="C236">
            <v>184.9</v>
          </cell>
          <cell r="D236">
            <v>44.5</v>
          </cell>
          <cell r="K236">
            <v>5.71</v>
          </cell>
          <cell r="L236">
            <v>4.79</v>
          </cell>
        </row>
        <row r="237">
          <cell r="C237">
            <v>184.5</v>
          </cell>
          <cell r="D237">
            <v>44.7</v>
          </cell>
          <cell r="K237">
            <v>5.68</v>
          </cell>
          <cell r="L237">
            <v>4.71</v>
          </cell>
        </row>
        <row r="238">
          <cell r="C238">
            <v>184</v>
          </cell>
          <cell r="D238">
            <v>44.9</v>
          </cell>
          <cell r="K238">
            <v>5.74</v>
          </cell>
          <cell r="L238">
            <v>4.6500000000000004</v>
          </cell>
        </row>
        <row r="239">
          <cell r="C239">
            <v>184</v>
          </cell>
          <cell r="D239">
            <v>45</v>
          </cell>
          <cell r="K239">
            <v>5.8</v>
          </cell>
          <cell r="L239">
            <v>4.78</v>
          </cell>
        </row>
        <row r="240">
          <cell r="C240">
            <v>184.3</v>
          </cell>
          <cell r="D240">
            <v>45.1</v>
          </cell>
          <cell r="K240">
            <v>5.77</v>
          </cell>
          <cell r="L240">
            <v>4.79</v>
          </cell>
        </row>
        <row r="241">
          <cell r="C241">
            <v>184</v>
          </cell>
          <cell r="D241">
            <v>45.3</v>
          </cell>
          <cell r="K241">
            <v>5.73</v>
          </cell>
          <cell r="L241">
            <v>4.71</v>
          </cell>
        </row>
      </sheetData>
      <sheetData sheetId="3">
        <row r="8">
          <cell r="C8">
            <v>11.2</v>
          </cell>
        </row>
        <row r="9">
          <cell r="C9">
            <v>12.1</v>
          </cell>
        </row>
        <row r="10">
          <cell r="C10">
            <v>12.8</v>
          </cell>
        </row>
        <row r="11">
          <cell r="C11">
            <v>12.6</v>
          </cell>
        </row>
        <row r="12">
          <cell r="C12">
            <v>11.7</v>
          </cell>
        </row>
        <row r="13">
          <cell r="C13">
            <v>10.6</v>
          </cell>
        </row>
        <row r="14">
          <cell r="C14">
            <v>9.1</v>
          </cell>
        </row>
        <row r="15">
          <cell r="C15">
            <v>9.6999999999999993</v>
          </cell>
        </row>
        <row r="16">
          <cell r="C16">
            <v>11.5</v>
          </cell>
        </row>
        <row r="17">
          <cell r="C17">
            <v>11.8</v>
          </cell>
        </row>
        <row r="18">
          <cell r="C18">
            <v>11.4</v>
          </cell>
        </row>
        <row r="19">
          <cell r="C19">
            <v>11.5</v>
          </cell>
        </row>
        <row r="20">
          <cell r="C20">
            <v>10.6</v>
          </cell>
        </row>
        <row r="21">
          <cell r="C21">
            <v>10</v>
          </cell>
        </row>
        <row r="22">
          <cell r="C22">
            <v>11</v>
          </cell>
        </row>
        <row r="23">
          <cell r="C23">
            <v>10.4</v>
          </cell>
        </row>
        <row r="24">
          <cell r="C24">
            <v>9.6</v>
          </cell>
        </row>
        <row r="25">
          <cell r="C25">
            <v>9.5</v>
          </cell>
        </row>
        <row r="26">
          <cell r="C26">
            <v>8.5</v>
          </cell>
        </row>
        <row r="27">
          <cell r="C27">
            <v>9.9</v>
          </cell>
        </row>
        <row r="28">
          <cell r="C28">
            <v>9.9</v>
          </cell>
        </row>
        <row r="29">
          <cell r="C29">
            <v>9.6999999999999993</v>
          </cell>
        </row>
        <row r="30">
          <cell r="C30">
            <v>9.1</v>
          </cell>
        </row>
        <row r="31">
          <cell r="C31">
            <v>8.6999999999999993</v>
          </cell>
        </row>
        <row r="32">
          <cell r="C32">
            <v>8.1</v>
          </cell>
        </row>
        <row r="33">
          <cell r="C33">
            <v>7.9</v>
          </cell>
        </row>
        <row r="34">
          <cell r="C34">
            <v>7.6</v>
          </cell>
        </row>
        <row r="35">
          <cell r="C35">
            <v>6.9</v>
          </cell>
        </row>
        <row r="36">
          <cell r="C36">
            <v>6.2</v>
          </cell>
        </row>
        <row r="39">
          <cell r="C39">
            <v>1.9</v>
          </cell>
        </row>
        <row r="40">
          <cell r="C40">
            <v>3.1</v>
          </cell>
        </row>
        <row r="41">
          <cell r="C41">
            <v>3.5</v>
          </cell>
        </row>
        <row r="42">
          <cell r="C42">
            <v>3.9</v>
          </cell>
        </row>
        <row r="43">
          <cell r="C43">
            <v>4.5</v>
          </cell>
        </row>
        <row r="44">
          <cell r="C44">
            <v>4.7</v>
          </cell>
        </row>
        <row r="45">
          <cell r="C45">
            <v>5.2</v>
          </cell>
        </row>
        <row r="46">
          <cell r="C46">
            <v>7.8</v>
          </cell>
        </row>
        <row r="47">
          <cell r="C47">
            <v>8.3000000000000007</v>
          </cell>
        </row>
        <row r="48">
          <cell r="C48">
            <v>7.3</v>
          </cell>
        </row>
        <row r="49">
          <cell r="C49">
            <v>6.2</v>
          </cell>
        </row>
        <row r="50">
          <cell r="C50">
            <v>5.8</v>
          </cell>
        </row>
        <row r="51">
          <cell r="C51">
            <v>7.5</v>
          </cell>
        </row>
        <row r="52">
          <cell r="C52">
            <v>8.9</v>
          </cell>
        </row>
        <row r="53">
          <cell r="C53">
            <v>9.9</v>
          </cell>
        </row>
        <row r="54">
          <cell r="C54">
            <v>10.5</v>
          </cell>
        </row>
        <row r="55">
          <cell r="C55">
            <v>10.8</v>
          </cell>
        </row>
        <row r="56">
          <cell r="C56">
            <v>10.5</v>
          </cell>
        </row>
        <row r="57">
          <cell r="C57">
            <v>10.7</v>
          </cell>
        </row>
        <row r="58">
          <cell r="C58">
            <v>11.3</v>
          </cell>
        </row>
        <row r="59">
          <cell r="C59">
            <v>11.4</v>
          </cell>
        </row>
        <row r="60">
          <cell r="C60">
            <v>10.3</v>
          </cell>
        </row>
        <row r="61">
          <cell r="C61">
            <v>8.9</v>
          </cell>
        </row>
        <row r="62">
          <cell r="C62">
            <v>7.8</v>
          </cell>
        </row>
        <row r="66">
          <cell r="C66">
            <v>10</v>
          </cell>
        </row>
        <row r="67">
          <cell r="C67">
            <v>11.3</v>
          </cell>
        </row>
        <row r="68">
          <cell r="C68">
            <v>11.7</v>
          </cell>
        </row>
        <row r="69">
          <cell r="C69">
            <v>11.4</v>
          </cell>
        </row>
        <row r="70">
          <cell r="C70">
            <v>12.2</v>
          </cell>
        </row>
        <row r="71">
          <cell r="C71">
            <v>12.4</v>
          </cell>
        </row>
        <row r="72">
          <cell r="C72">
            <v>11</v>
          </cell>
        </row>
        <row r="73">
          <cell r="C73">
            <v>9.3000000000000007</v>
          </cell>
        </row>
        <row r="74">
          <cell r="C74">
            <v>8.8000000000000007</v>
          </cell>
        </row>
        <row r="75">
          <cell r="C75">
            <v>9.4</v>
          </cell>
        </row>
        <row r="76">
          <cell r="C76">
            <v>10.6</v>
          </cell>
        </row>
        <row r="77">
          <cell r="C77">
            <v>11</v>
          </cell>
        </row>
        <row r="78">
          <cell r="C78">
            <v>11.3</v>
          </cell>
        </row>
        <row r="82">
          <cell r="C82">
            <v>6.6</v>
          </cell>
        </row>
        <row r="83">
          <cell r="C83">
            <v>5.8</v>
          </cell>
        </row>
        <row r="84">
          <cell r="C84">
            <v>8</v>
          </cell>
        </row>
        <row r="85">
          <cell r="C85">
            <v>7.1</v>
          </cell>
        </row>
        <row r="86">
          <cell r="C86">
            <v>6.2</v>
          </cell>
        </row>
        <row r="87">
          <cell r="C87">
            <v>6.4</v>
          </cell>
        </row>
        <row r="88">
          <cell r="C88">
            <v>6.8</v>
          </cell>
        </row>
        <row r="89">
          <cell r="C89">
            <v>7.2</v>
          </cell>
        </row>
        <row r="90">
          <cell r="C90">
            <v>7.4</v>
          </cell>
        </row>
        <row r="91">
          <cell r="C91">
            <v>7.5</v>
          </cell>
        </row>
        <row r="92">
          <cell r="C92">
            <v>7.4</v>
          </cell>
        </row>
        <row r="93">
          <cell r="C93">
            <v>6.5</v>
          </cell>
        </row>
        <row r="94">
          <cell r="C94">
            <v>7.3</v>
          </cell>
        </row>
        <row r="118">
          <cell r="C118">
            <v>11.2</v>
          </cell>
        </row>
        <row r="119">
          <cell r="C119">
            <v>11.9</v>
          </cell>
        </row>
        <row r="120">
          <cell r="C120">
            <v>10.9</v>
          </cell>
        </row>
        <row r="121">
          <cell r="C121">
            <v>8.6</v>
          </cell>
        </row>
        <row r="122">
          <cell r="C122">
            <v>9</v>
          </cell>
        </row>
        <row r="123">
          <cell r="C123">
            <v>10.6</v>
          </cell>
        </row>
        <row r="124">
          <cell r="C124">
            <v>11.1</v>
          </cell>
        </row>
        <row r="125">
          <cell r="C125">
            <v>10.6</v>
          </cell>
        </row>
        <row r="126">
          <cell r="C126">
            <v>11.1</v>
          </cell>
        </row>
        <row r="127">
          <cell r="C127">
            <v>11</v>
          </cell>
        </row>
        <row r="128">
          <cell r="C128">
            <v>10.6</v>
          </cell>
        </row>
        <row r="129">
          <cell r="C129">
            <v>10.8</v>
          </cell>
        </row>
        <row r="130">
          <cell r="C130">
            <v>12</v>
          </cell>
        </row>
        <row r="131">
          <cell r="C131">
            <v>12.2</v>
          </cell>
        </row>
        <row r="132">
          <cell r="C132">
            <v>10.9</v>
          </cell>
        </row>
        <row r="133">
          <cell r="C133">
            <v>9</v>
          </cell>
        </row>
        <row r="134">
          <cell r="C134">
            <v>7.9</v>
          </cell>
        </row>
        <row r="135">
          <cell r="C135">
            <v>8</v>
          </cell>
        </row>
        <row r="136">
          <cell r="C136">
            <v>8.6999999999999993</v>
          </cell>
        </row>
        <row r="137">
          <cell r="C137">
            <v>9.6</v>
          </cell>
        </row>
        <row r="138">
          <cell r="C138">
            <v>9.8000000000000007</v>
          </cell>
        </row>
        <row r="139">
          <cell r="C139">
            <v>9.8000000000000007</v>
          </cell>
        </row>
        <row r="140">
          <cell r="C140">
            <v>9.4</v>
          </cell>
        </row>
        <row r="141">
          <cell r="C141">
            <v>9.5</v>
          </cell>
        </row>
        <row r="142">
          <cell r="C142">
            <v>10.6</v>
          </cell>
        </row>
        <row r="143">
          <cell r="C143">
            <v>10.7</v>
          </cell>
        </row>
        <row r="144">
          <cell r="C144">
            <v>10</v>
          </cell>
        </row>
        <row r="145">
          <cell r="C145">
            <v>8.4</v>
          </cell>
        </row>
        <row r="146">
          <cell r="C146">
            <v>6.9</v>
          </cell>
        </row>
        <row r="147">
          <cell r="C147">
            <v>8</v>
          </cell>
        </row>
        <row r="148">
          <cell r="C148">
            <v>9.9</v>
          </cell>
        </row>
        <row r="149">
          <cell r="C149">
            <v>10.9</v>
          </cell>
        </row>
        <row r="150">
          <cell r="C150">
            <v>11</v>
          </cell>
        </row>
        <row r="151">
          <cell r="C151">
            <v>11</v>
          </cell>
        </row>
        <row r="152">
          <cell r="C152">
            <v>10.5</v>
          </cell>
        </row>
        <row r="153">
          <cell r="C153">
            <v>10.4</v>
          </cell>
        </row>
        <row r="154">
          <cell r="C154">
            <v>10.8</v>
          </cell>
        </row>
        <row r="155">
          <cell r="C155">
            <v>10.9</v>
          </cell>
        </row>
        <row r="156">
          <cell r="C156">
            <v>8.6</v>
          </cell>
        </row>
        <row r="157">
          <cell r="C157">
            <v>5.9</v>
          </cell>
        </row>
        <row r="158">
          <cell r="C158">
            <v>4.4000000000000004</v>
          </cell>
        </row>
        <row r="159">
          <cell r="C159">
            <v>5.2</v>
          </cell>
        </row>
        <row r="160">
          <cell r="C160">
            <v>6.1</v>
          </cell>
        </row>
        <row r="161">
          <cell r="C161">
            <v>6.3</v>
          </cell>
        </row>
        <row r="162">
          <cell r="C162">
            <v>5.2</v>
          </cell>
        </row>
        <row r="163">
          <cell r="C163">
            <v>4.5</v>
          </cell>
        </row>
        <row r="164">
          <cell r="C164">
            <v>3.2</v>
          </cell>
        </row>
        <row r="165">
          <cell r="C165">
            <v>2.2999999999999998</v>
          </cell>
        </row>
        <row r="166">
          <cell r="C166">
            <v>2.1</v>
          </cell>
        </row>
        <row r="167">
          <cell r="C167">
            <v>1.3</v>
          </cell>
        </row>
        <row r="168">
          <cell r="C168">
            <v>-0.3</v>
          </cell>
        </row>
        <row r="169">
          <cell r="C169">
            <v>-1.9</v>
          </cell>
        </row>
        <row r="170">
          <cell r="C170">
            <v>-3.1</v>
          </cell>
        </row>
        <row r="171">
          <cell r="C171">
            <v>-2.5</v>
          </cell>
        </row>
        <row r="172">
          <cell r="C172">
            <v>-1.6</v>
          </cell>
        </row>
        <row r="173">
          <cell r="C173">
            <v>-1</v>
          </cell>
        </row>
        <row r="174">
          <cell r="C174">
            <v>-1.1000000000000001</v>
          </cell>
        </row>
        <row r="175">
          <cell r="C175">
            <v>-1</v>
          </cell>
        </row>
        <row r="176">
          <cell r="C176">
            <v>-1.1000000000000001</v>
          </cell>
        </row>
        <row r="177">
          <cell r="C177">
            <v>-0.5</v>
          </cell>
        </row>
        <row r="178">
          <cell r="C178">
            <v>0.5</v>
          </cell>
        </row>
        <row r="179">
          <cell r="C179">
            <v>0.8</v>
          </cell>
        </row>
        <row r="180">
          <cell r="C180">
            <v>-0.4</v>
          </cell>
        </row>
        <row r="181">
          <cell r="C181">
            <v>-0.7</v>
          </cell>
        </row>
        <row r="182">
          <cell r="C182">
            <v>-1.5</v>
          </cell>
        </row>
        <row r="183">
          <cell r="C183">
            <v>-1.2</v>
          </cell>
        </row>
        <row r="184">
          <cell r="C184">
            <v>1.2</v>
          </cell>
        </row>
        <row r="185">
          <cell r="C185">
            <v>2.2000000000000002</v>
          </cell>
        </row>
        <row r="186">
          <cell r="C186">
            <v>2.7</v>
          </cell>
        </row>
        <row r="187">
          <cell r="C187">
            <v>3</v>
          </cell>
        </row>
        <row r="188">
          <cell r="C188">
            <v>3.3</v>
          </cell>
        </row>
        <row r="189">
          <cell r="C189">
            <v>3.5</v>
          </cell>
        </row>
        <row r="190">
          <cell r="C190">
            <v>4.3</v>
          </cell>
        </row>
        <row r="191">
          <cell r="C191">
            <v>4.9000000000000004</v>
          </cell>
        </row>
        <row r="192">
          <cell r="C192">
            <v>3.9</v>
          </cell>
        </row>
        <row r="193">
          <cell r="C193">
            <v>2</v>
          </cell>
        </row>
        <row r="194">
          <cell r="C194">
            <v>1</v>
          </cell>
        </row>
        <row r="195">
          <cell r="C195">
            <v>1.3</v>
          </cell>
        </row>
        <row r="196">
          <cell r="C196">
            <v>3.3</v>
          </cell>
        </row>
        <row r="197">
          <cell r="C197">
            <v>6.2</v>
          </cell>
        </row>
        <row r="198">
          <cell r="C198">
            <v>6.8</v>
          </cell>
        </row>
        <row r="199">
          <cell r="C199">
            <v>7</v>
          </cell>
        </row>
        <row r="200">
          <cell r="C200">
            <v>6.9</v>
          </cell>
        </row>
        <row r="201">
          <cell r="C201">
            <v>7.2</v>
          </cell>
        </row>
        <row r="202">
          <cell r="C202">
            <v>8.3000000000000007</v>
          </cell>
        </row>
        <row r="203">
          <cell r="C203">
            <v>9.3000000000000007</v>
          </cell>
        </row>
        <row r="204">
          <cell r="C204">
            <v>8.3000000000000007</v>
          </cell>
        </row>
        <row r="205">
          <cell r="C205">
            <v>7.1</v>
          </cell>
        </row>
        <row r="206">
          <cell r="C206">
            <v>6.4</v>
          </cell>
        </row>
        <row r="207">
          <cell r="C207">
            <v>7</v>
          </cell>
        </row>
        <row r="208">
          <cell r="C208">
            <v>8.8000000000000007</v>
          </cell>
        </row>
        <row r="209">
          <cell r="C209">
            <v>9.8000000000000007</v>
          </cell>
        </row>
        <row r="210">
          <cell r="C210">
            <v>9.9</v>
          </cell>
        </row>
        <row r="211">
          <cell r="C211">
            <v>9.9</v>
          </cell>
        </row>
        <row r="212">
          <cell r="C212">
            <v>9.4</v>
          </cell>
        </row>
        <row r="213">
          <cell r="C213">
            <v>8.8000000000000007</v>
          </cell>
        </row>
        <row r="214">
          <cell r="C214">
            <v>8.8000000000000007</v>
          </cell>
        </row>
        <row r="215">
          <cell r="C215">
            <v>8.6</v>
          </cell>
        </row>
        <row r="216">
          <cell r="C216">
            <v>7.7</v>
          </cell>
        </row>
        <row r="217">
          <cell r="C217">
            <v>6.2</v>
          </cell>
        </row>
        <row r="218">
          <cell r="C218">
            <v>5.5</v>
          </cell>
        </row>
        <row r="219">
          <cell r="C219">
            <v>7.6</v>
          </cell>
        </row>
        <row r="220">
          <cell r="C220">
            <v>9.3000000000000007</v>
          </cell>
        </row>
        <row r="221">
          <cell r="C221">
            <v>9.6999999999999993</v>
          </cell>
        </row>
        <row r="222">
          <cell r="C222">
            <v>9.8000000000000007</v>
          </cell>
        </row>
        <row r="223">
          <cell r="C223">
            <v>10.1</v>
          </cell>
        </row>
        <row r="224">
          <cell r="C224">
            <v>10.1</v>
          </cell>
        </row>
        <row r="225">
          <cell r="C225">
            <v>10.1</v>
          </cell>
        </row>
        <row r="226">
          <cell r="C226">
            <v>10.9</v>
          </cell>
        </row>
        <row r="227">
          <cell r="C227">
            <v>10.8</v>
          </cell>
        </row>
        <row r="228">
          <cell r="C228">
            <v>9.1</v>
          </cell>
        </row>
        <row r="229">
          <cell r="C229">
            <v>7.3</v>
          </cell>
        </row>
        <row r="230">
          <cell r="C230">
            <v>6.3</v>
          </cell>
        </row>
        <row r="231">
          <cell r="C231">
            <v>6.8</v>
          </cell>
        </row>
        <row r="232">
          <cell r="C232">
            <v>8.3000000000000007</v>
          </cell>
        </row>
        <row r="233">
          <cell r="C233">
            <v>8.8000000000000007</v>
          </cell>
        </row>
        <row r="234">
          <cell r="C234">
            <v>8.6999999999999993</v>
          </cell>
        </row>
        <row r="235">
          <cell r="C235">
            <v>8.5</v>
          </cell>
        </row>
        <row r="236">
          <cell r="C236">
            <v>7.9</v>
          </cell>
        </row>
        <row r="237">
          <cell r="C237">
            <v>7.8</v>
          </cell>
        </row>
        <row r="238">
          <cell r="C238">
            <v>8.6999999999999993</v>
          </cell>
        </row>
        <row r="239">
          <cell r="C239">
            <v>8.6</v>
          </cell>
        </row>
        <row r="240">
          <cell r="C240">
            <v>6.4</v>
          </cell>
        </row>
        <row r="241">
          <cell r="C241">
            <v>4.9000000000000004</v>
          </cell>
        </row>
        <row r="242">
          <cell r="C242">
            <v>5.8</v>
          </cell>
        </row>
        <row r="243">
          <cell r="C243">
            <v>6.9</v>
          </cell>
        </row>
        <row r="244">
          <cell r="C244">
            <v>7.8</v>
          </cell>
        </row>
        <row r="245">
          <cell r="C245">
            <v>9.1</v>
          </cell>
        </row>
        <row r="246">
          <cell r="C246">
            <v>9.1999999999999993</v>
          </cell>
        </row>
        <row r="247">
          <cell r="C247">
            <v>9.4</v>
          </cell>
        </row>
        <row r="248">
          <cell r="C248">
            <v>9.3000000000000007</v>
          </cell>
        </row>
        <row r="249">
          <cell r="C249">
            <v>9.6</v>
          </cell>
        </row>
        <row r="250">
          <cell r="C250">
            <v>10.1</v>
          </cell>
        </row>
        <row r="251">
          <cell r="C251">
            <v>10.3</v>
          </cell>
        </row>
        <row r="252">
          <cell r="C252">
            <v>9.8000000000000007</v>
          </cell>
        </row>
        <row r="253">
          <cell r="C253">
            <v>8.1</v>
          </cell>
        </row>
        <row r="254">
          <cell r="C254">
            <v>7.6</v>
          </cell>
        </row>
        <row r="255">
          <cell r="C255">
            <v>9.1</v>
          </cell>
        </row>
        <row r="256">
          <cell r="C256">
            <v>10.9</v>
          </cell>
        </row>
        <row r="257">
          <cell r="C257">
            <v>11.3</v>
          </cell>
        </row>
        <row r="258">
          <cell r="C258">
            <v>11.2</v>
          </cell>
        </row>
        <row r="259">
          <cell r="C259">
            <v>11.1</v>
          </cell>
        </row>
        <row r="260">
          <cell r="C260">
            <v>10.1</v>
          </cell>
        </row>
        <row r="261">
          <cell r="C261">
            <v>9.6</v>
          </cell>
        </row>
        <row r="262">
          <cell r="C262">
            <v>10.199999999999999</v>
          </cell>
        </row>
        <row r="263">
          <cell r="C263">
            <v>10.5</v>
          </cell>
        </row>
        <row r="264">
          <cell r="C264">
            <v>9.8000000000000007</v>
          </cell>
        </row>
        <row r="265">
          <cell r="C265">
            <v>8.6999999999999993</v>
          </cell>
        </row>
        <row r="266">
          <cell r="C266">
            <v>9.1</v>
          </cell>
        </row>
        <row r="267">
          <cell r="C267">
            <v>9.6999999999999993</v>
          </cell>
        </row>
        <row r="268">
          <cell r="C268">
            <v>11.2</v>
          </cell>
        </row>
        <row r="269">
          <cell r="C269">
            <v>11.8</v>
          </cell>
        </row>
        <row r="270">
          <cell r="C270">
            <v>11.7</v>
          </cell>
        </row>
        <row r="271">
          <cell r="C271">
            <v>11.8</v>
          </cell>
        </row>
        <row r="272">
          <cell r="C272">
            <v>11.7</v>
          </cell>
        </row>
        <row r="273">
          <cell r="C273">
            <v>11.8</v>
          </cell>
        </row>
        <row r="274">
          <cell r="C274">
            <v>10.7</v>
          </cell>
        </row>
        <row r="275">
          <cell r="C275">
            <v>10.3</v>
          </cell>
        </row>
        <row r="276">
          <cell r="C276">
            <v>8.4</v>
          </cell>
        </row>
        <row r="277">
          <cell r="C277">
            <v>6.4</v>
          </cell>
        </row>
        <row r="278">
          <cell r="C278">
            <v>5</v>
          </cell>
        </row>
        <row r="279">
          <cell r="C279">
            <v>5.8</v>
          </cell>
        </row>
        <row r="280">
          <cell r="C280">
            <v>9.3000000000000007</v>
          </cell>
        </row>
        <row r="281">
          <cell r="C281">
            <v>8.1999999999999993</v>
          </cell>
        </row>
        <row r="282">
          <cell r="C282">
            <v>8</v>
          </cell>
        </row>
        <row r="283">
          <cell r="C283">
            <v>8.1</v>
          </cell>
        </row>
        <row r="284">
          <cell r="C284">
            <v>8.1</v>
          </cell>
        </row>
        <row r="285">
          <cell r="C285">
            <v>8.3000000000000007</v>
          </cell>
        </row>
        <row r="286">
          <cell r="C286">
            <v>8.8000000000000007</v>
          </cell>
        </row>
        <row r="287">
          <cell r="C287">
            <v>9.3000000000000007</v>
          </cell>
        </row>
        <row r="288">
          <cell r="C288">
            <v>8.1999999999999993</v>
          </cell>
        </row>
        <row r="289">
          <cell r="C289">
            <v>6.6</v>
          </cell>
        </row>
        <row r="290">
          <cell r="C290">
            <v>6</v>
          </cell>
        </row>
        <row r="291">
          <cell r="C291">
            <v>6.9</v>
          </cell>
        </row>
        <row r="292">
          <cell r="C292">
            <v>8.1</v>
          </cell>
        </row>
        <row r="293">
          <cell r="C293">
            <v>9.1999999999999993</v>
          </cell>
        </row>
        <row r="294">
          <cell r="C294">
            <v>9.4</v>
          </cell>
        </row>
        <row r="295">
          <cell r="C295">
            <v>9.5</v>
          </cell>
        </row>
        <row r="296">
          <cell r="C296">
            <v>9.1999999999999993</v>
          </cell>
        </row>
        <row r="297">
          <cell r="C297">
            <v>9.1999999999999993</v>
          </cell>
        </row>
        <row r="298">
          <cell r="C298">
            <v>10.1</v>
          </cell>
        </row>
        <row r="299">
          <cell r="C299">
            <v>10.6</v>
          </cell>
        </row>
        <row r="300">
          <cell r="C300">
            <v>9.1</v>
          </cell>
        </row>
        <row r="301">
          <cell r="C301">
            <v>7.7</v>
          </cell>
        </row>
        <row r="302">
          <cell r="C302">
            <v>7.1</v>
          </cell>
        </row>
        <row r="303">
          <cell r="C303">
            <v>7.6</v>
          </cell>
        </row>
        <row r="304">
          <cell r="C304">
            <v>9.4</v>
          </cell>
        </row>
        <row r="305">
          <cell r="C305">
            <v>9.6999999999999993</v>
          </cell>
        </row>
        <row r="306">
          <cell r="C306">
            <v>8.5</v>
          </cell>
        </row>
        <row r="307">
          <cell r="C307">
            <v>8.3000000000000007</v>
          </cell>
        </row>
        <row r="308">
          <cell r="C308">
            <v>7.8</v>
          </cell>
        </row>
        <row r="309">
          <cell r="C309">
            <v>7.7</v>
          </cell>
        </row>
        <row r="310">
          <cell r="C310">
            <v>8.4</v>
          </cell>
        </row>
        <row r="311">
          <cell r="C311">
            <v>9.4</v>
          </cell>
        </row>
        <row r="312">
          <cell r="C312">
            <v>8.6</v>
          </cell>
        </row>
        <row r="313">
          <cell r="C313">
            <v>7.1</v>
          </cell>
        </row>
        <row r="314">
          <cell r="C314">
            <v>7.4</v>
          </cell>
        </row>
        <row r="315">
          <cell r="C315">
            <v>8.1</v>
          </cell>
        </row>
        <row r="316">
          <cell r="C316">
            <v>9.1999999999999993</v>
          </cell>
        </row>
        <row r="317">
          <cell r="C317">
            <v>9.3000000000000007</v>
          </cell>
        </row>
        <row r="318">
          <cell r="C318">
            <v>9.4</v>
          </cell>
        </row>
        <row r="319">
          <cell r="C319">
            <v>8.8000000000000007</v>
          </cell>
        </row>
        <row r="320">
          <cell r="C320">
            <v>7.6</v>
          </cell>
        </row>
        <row r="321">
          <cell r="C321">
            <v>7.6</v>
          </cell>
        </row>
        <row r="322">
          <cell r="C322">
            <v>8.3000000000000007</v>
          </cell>
        </row>
        <row r="323">
          <cell r="C323">
            <v>8</v>
          </cell>
        </row>
        <row r="324">
          <cell r="C324">
            <v>6.6</v>
          </cell>
        </row>
        <row r="325">
          <cell r="C325">
            <v>5.2</v>
          </cell>
        </row>
        <row r="326">
          <cell r="C326">
            <v>4.5999999999999996</v>
          </cell>
        </row>
        <row r="327">
          <cell r="C327">
            <v>4.9000000000000004</v>
          </cell>
        </row>
        <row r="328">
          <cell r="C328">
            <v>6.6</v>
          </cell>
        </row>
        <row r="329">
          <cell r="C329">
            <v>7.6</v>
          </cell>
        </row>
        <row r="330">
          <cell r="C330">
            <v>7.7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結果"/>
      <sheetName val="区別全市"/>
      <sheetName val="区別事業場"/>
      <sheetName val="業種全市"/>
      <sheetName val="業種事業場"/>
      <sheetName val="月別"/>
      <sheetName val="工事仮排水"/>
      <sheetName val="I"/>
    </sheetNames>
    <sheetDataSet>
      <sheetData sheetId="0" refreshError="1"/>
      <sheetData sheetId="1"/>
      <sheetData sheetId="2">
        <row r="5">
          <cell r="C5">
            <v>32145</v>
          </cell>
        </row>
      </sheetData>
      <sheetData sheetId="3">
        <row r="4">
          <cell r="B4">
            <v>37560</v>
          </cell>
        </row>
        <row r="46">
          <cell r="A46" t="str">
            <v>中央区</v>
          </cell>
          <cell r="B46">
            <v>37560</v>
          </cell>
          <cell r="C46">
            <v>37920</v>
          </cell>
          <cell r="D46">
            <v>43900</v>
          </cell>
          <cell r="E46">
            <v>43610</v>
          </cell>
          <cell r="F46">
            <v>43690</v>
          </cell>
          <cell r="G46">
            <v>43337</v>
          </cell>
          <cell r="H46">
            <v>43158</v>
          </cell>
          <cell r="I46">
            <v>43743</v>
          </cell>
          <cell r="J46">
            <v>42251</v>
          </cell>
          <cell r="K46">
            <v>41169</v>
          </cell>
          <cell r="L46">
            <v>41603</v>
          </cell>
        </row>
        <row r="47">
          <cell r="A47" t="str">
            <v>西　区</v>
          </cell>
          <cell r="B47">
            <v>16100</v>
          </cell>
          <cell r="C47">
            <v>17010</v>
          </cell>
          <cell r="D47">
            <v>17100</v>
          </cell>
          <cell r="E47">
            <v>12430</v>
          </cell>
          <cell r="F47">
            <v>11120</v>
          </cell>
          <cell r="G47">
            <v>12590</v>
          </cell>
          <cell r="H47">
            <v>12220</v>
          </cell>
          <cell r="I47">
            <v>12272</v>
          </cell>
          <cell r="J47">
            <v>12119</v>
          </cell>
          <cell r="K47">
            <v>11866</v>
          </cell>
          <cell r="L47">
            <v>11784</v>
          </cell>
        </row>
        <row r="48">
          <cell r="A48" t="str">
            <v>白石区</v>
          </cell>
          <cell r="B48">
            <v>9030</v>
          </cell>
          <cell r="C48">
            <v>11290</v>
          </cell>
          <cell r="D48">
            <v>10770</v>
          </cell>
          <cell r="E48">
            <v>9230</v>
          </cell>
          <cell r="F48">
            <v>9140</v>
          </cell>
          <cell r="G48">
            <v>9768</v>
          </cell>
          <cell r="H48">
            <v>9474</v>
          </cell>
          <cell r="I48">
            <v>10217</v>
          </cell>
          <cell r="J48">
            <v>10306</v>
          </cell>
          <cell r="K48">
            <v>11128</v>
          </cell>
          <cell r="L48">
            <v>10824</v>
          </cell>
        </row>
        <row r="49">
          <cell r="A49" t="str">
            <v>東　区</v>
          </cell>
          <cell r="B49">
            <v>17570</v>
          </cell>
          <cell r="C49">
            <v>15760</v>
          </cell>
          <cell r="D49">
            <v>13750</v>
          </cell>
          <cell r="E49">
            <v>11660</v>
          </cell>
          <cell r="F49">
            <v>11340</v>
          </cell>
          <cell r="G49">
            <v>10751</v>
          </cell>
          <cell r="H49">
            <v>10932</v>
          </cell>
          <cell r="I49">
            <v>11509</v>
          </cell>
          <cell r="J49">
            <v>8983</v>
          </cell>
          <cell r="K49">
            <v>8928</v>
          </cell>
          <cell r="L49">
            <v>9517</v>
          </cell>
        </row>
        <row r="50">
          <cell r="A50" t="str">
            <v>北　区</v>
          </cell>
          <cell r="B50">
            <v>8530</v>
          </cell>
          <cell r="C50">
            <v>9800</v>
          </cell>
          <cell r="D50">
            <v>11520</v>
          </cell>
          <cell r="E50">
            <v>10440</v>
          </cell>
          <cell r="F50">
            <v>9090</v>
          </cell>
          <cell r="G50">
            <v>9081</v>
          </cell>
          <cell r="H50">
            <v>8645</v>
          </cell>
          <cell r="I50">
            <v>8873</v>
          </cell>
          <cell r="J50">
            <v>8399</v>
          </cell>
          <cell r="K50">
            <v>8170</v>
          </cell>
          <cell r="L50">
            <v>8426</v>
          </cell>
        </row>
        <row r="51">
          <cell r="A51" t="str">
            <v>厚別区</v>
          </cell>
          <cell r="E51">
            <v>5210</v>
          </cell>
          <cell r="F51">
            <v>5860</v>
          </cell>
          <cell r="G51">
            <v>5827</v>
          </cell>
          <cell r="H51">
            <v>6085</v>
          </cell>
          <cell r="I51">
            <v>6575</v>
          </cell>
          <cell r="J51">
            <v>6632</v>
          </cell>
          <cell r="K51">
            <v>6261</v>
          </cell>
          <cell r="L51">
            <v>7519</v>
          </cell>
        </row>
        <row r="52">
          <cell r="A52" t="str">
            <v>清田区</v>
          </cell>
          <cell r="L52">
            <v>6129</v>
          </cell>
        </row>
        <row r="53">
          <cell r="A53" t="str">
            <v>豊平区</v>
          </cell>
          <cell r="B53">
            <v>17540</v>
          </cell>
          <cell r="C53">
            <v>14850</v>
          </cell>
          <cell r="D53">
            <v>11970</v>
          </cell>
          <cell r="E53">
            <v>12200</v>
          </cell>
          <cell r="F53">
            <v>13850</v>
          </cell>
          <cell r="G53">
            <v>13786</v>
          </cell>
          <cell r="H53">
            <v>11951</v>
          </cell>
          <cell r="I53">
            <v>11666</v>
          </cell>
          <cell r="J53">
            <v>10622</v>
          </cell>
          <cell r="K53">
            <v>10090</v>
          </cell>
          <cell r="L53">
            <v>5237</v>
          </cell>
        </row>
        <row r="54">
          <cell r="A54" t="str">
            <v>南　区</v>
          </cell>
          <cell r="B54">
            <v>2060</v>
          </cell>
          <cell r="C54">
            <v>4590</v>
          </cell>
          <cell r="D54">
            <v>3770</v>
          </cell>
          <cell r="E54">
            <v>2960</v>
          </cell>
          <cell r="F54">
            <v>3120</v>
          </cell>
          <cell r="G54">
            <v>6748</v>
          </cell>
          <cell r="H54">
            <v>6237</v>
          </cell>
          <cell r="I54">
            <v>2816</v>
          </cell>
          <cell r="J54">
            <v>2534</v>
          </cell>
          <cell r="K54">
            <v>2549</v>
          </cell>
          <cell r="L54">
            <v>2613</v>
          </cell>
        </row>
        <row r="55">
          <cell r="A55" t="str">
            <v>手稲区</v>
          </cell>
          <cell r="E55">
            <v>3180</v>
          </cell>
          <cell r="F55">
            <v>3770</v>
          </cell>
          <cell r="G55">
            <v>2878</v>
          </cell>
          <cell r="H55">
            <v>2826</v>
          </cell>
          <cell r="I55">
            <v>3269</v>
          </cell>
          <cell r="J55">
            <v>2171</v>
          </cell>
          <cell r="K55">
            <v>2056</v>
          </cell>
          <cell r="L55">
            <v>2027</v>
          </cell>
        </row>
      </sheetData>
      <sheetData sheetId="4">
        <row r="4">
          <cell r="C4">
            <v>22619</v>
          </cell>
        </row>
      </sheetData>
      <sheetData sheetId="5">
        <row r="4">
          <cell r="B4">
            <v>14103</v>
          </cell>
        </row>
      </sheetData>
      <sheetData sheetId="6">
        <row r="2">
          <cell r="B2" t="str">
            <v>４月</v>
          </cell>
        </row>
      </sheetData>
      <sheetData sheetId="7">
        <row r="2">
          <cell r="C2" t="str">
            <v>H4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２－５"/>
      <sheetName val="BOD経年変化"/>
      <sheetName val="BOD経年変化 (2)"/>
      <sheetName val="39地点資料"/>
      <sheetName val="39地点BOD経変化"/>
      <sheetName val="図２－６"/>
      <sheetName val="表２－１"/>
      <sheetName val="BODﾃﾞｰﾀ"/>
      <sheetName val="下水普及率ﾃﾞｰﾀ"/>
      <sheetName val="苦情等"/>
      <sheetName val="水準測量実施状況"/>
      <sheetName val="事業場数"/>
      <sheetName val="事業場数 (2)"/>
      <sheetName val="基準点生活項目"/>
      <sheetName val="補助地点生活項目 "/>
      <sheetName val="基準一般"/>
      <sheetName val="排水基準1"/>
      <sheetName val="排水基準2"/>
      <sheetName val="土壌汚染環境基準"/>
      <sheetName val="地下水の水質汚濁に係る環境基準"/>
      <sheetName val="人の健康の保護に関する環境基準"/>
      <sheetName val="生活環境の保全に関する環境基準"/>
      <sheetName val="札幌市内河川の水域類型状況"/>
      <sheetName val="平成13年度生活項目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表６　　流入河川水質調査※（ＢＯＤ）</v>
          </cell>
          <cell r="H2" t="str">
            <v>(mg/l)</v>
          </cell>
        </row>
        <row r="3">
          <cell r="B3" t="str">
            <v>項　　　目</v>
          </cell>
          <cell r="D3" t="str">
            <v>平成10年度</v>
          </cell>
          <cell r="E3" t="str">
            <v>平成11年度</v>
          </cell>
          <cell r="F3" t="str">
            <v>平成12年度</v>
          </cell>
          <cell r="G3" t="str">
            <v>平成13年度</v>
          </cell>
          <cell r="H3" t="str">
            <v>平成14年度</v>
          </cell>
        </row>
        <row r="4">
          <cell r="B4" t="str">
            <v>河川名</v>
          </cell>
          <cell r="C4" t="str">
            <v>地点名</v>
          </cell>
          <cell r="H4" t="str">
            <v>　</v>
          </cell>
        </row>
        <row r="5">
          <cell r="B5" t="str">
            <v>小樽内川</v>
          </cell>
          <cell r="C5" t="str">
            <v>紅葉橋</v>
          </cell>
          <cell r="D5">
            <v>0.8</v>
          </cell>
          <cell r="E5">
            <v>0.6</v>
          </cell>
          <cell r="F5">
            <v>0.6</v>
          </cell>
          <cell r="G5" t="str">
            <v>&lt;0.5</v>
          </cell>
          <cell r="H5">
            <v>1.4</v>
          </cell>
        </row>
        <row r="6">
          <cell r="B6" t="str">
            <v>白井川</v>
          </cell>
          <cell r="C6" t="str">
            <v>白滝橋</v>
          </cell>
          <cell r="D6" t="str">
            <v>&lt;0.5</v>
          </cell>
          <cell r="E6" t="str">
            <v>&lt;0.5</v>
          </cell>
          <cell r="F6">
            <v>0.8</v>
          </cell>
          <cell r="G6" t="str">
            <v>&lt;0.5</v>
          </cell>
          <cell r="H6">
            <v>1.3</v>
          </cell>
        </row>
        <row r="7">
          <cell r="B7" t="str">
            <v>薄別川</v>
          </cell>
          <cell r="C7" t="str">
            <v>薄別橋</v>
          </cell>
          <cell r="D7" t="str">
            <v>&lt;0.5</v>
          </cell>
          <cell r="E7" t="str">
            <v>&lt;0.5</v>
          </cell>
          <cell r="F7">
            <v>0.7</v>
          </cell>
          <cell r="G7">
            <v>0.6</v>
          </cell>
          <cell r="H7">
            <v>1.1000000000000001</v>
          </cell>
        </row>
        <row r="8">
          <cell r="B8" t="str">
            <v>豊平川</v>
          </cell>
          <cell r="C8" t="str">
            <v>豊橋</v>
          </cell>
          <cell r="D8">
            <v>0.5</v>
          </cell>
          <cell r="E8" t="str">
            <v>&lt;0.5</v>
          </cell>
          <cell r="F8">
            <v>0.7</v>
          </cell>
          <cell r="G8" t="str">
            <v>&lt;0.5</v>
          </cell>
          <cell r="H8">
            <v>1.2</v>
          </cell>
        </row>
        <row r="9">
          <cell r="B9" t="str">
            <v>豊平川</v>
          </cell>
          <cell r="C9" t="str">
            <v>玉川橋</v>
          </cell>
          <cell r="D9">
            <v>0.6</v>
          </cell>
          <cell r="E9" t="str">
            <v>&lt;0.5</v>
          </cell>
          <cell r="F9">
            <v>0.6</v>
          </cell>
          <cell r="G9">
            <v>0.5</v>
          </cell>
          <cell r="H9">
            <v>1.5</v>
          </cell>
        </row>
        <row r="10">
          <cell r="B10" t="str">
            <v>簾舞川</v>
          </cell>
          <cell r="C10" t="str">
            <v>簾舞川橋</v>
          </cell>
          <cell r="D10" t="str">
            <v>&lt;0.5</v>
          </cell>
          <cell r="E10" t="str">
            <v>&lt;0.5</v>
          </cell>
          <cell r="F10">
            <v>0.8</v>
          </cell>
          <cell r="G10">
            <v>0.5</v>
          </cell>
          <cell r="H10">
            <v>1.1000000000000001</v>
          </cell>
        </row>
        <row r="11">
          <cell r="B11" t="str">
            <v>野々沢川</v>
          </cell>
          <cell r="C11" t="str">
            <v>最下流</v>
          </cell>
          <cell r="D11">
            <v>0.8</v>
          </cell>
          <cell r="E11">
            <v>0.7</v>
          </cell>
          <cell r="F11">
            <v>0.6</v>
          </cell>
          <cell r="G11">
            <v>1.4</v>
          </cell>
          <cell r="H11">
            <v>1.5</v>
          </cell>
        </row>
        <row r="12">
          <cell r="B12" t="str">
            <v>オカバルシ川</v>
          </cell>
          <cell r="C12" t="str">
            <v>最下流</v>
          </cell>
          <cell r="D12">
            <v>0.7</v>
          </cell>
          <cell r="E12">
            <v>0.8</v>
          </cell>
          <cell r="F12">
            <v>0.7</v>
          </cell>
          <cell r="G12">
            <v>1.4</v>
          </cell>
          <cell r="H12">
            <v>1.5</v>
          </cell>
        </row>
        <row r="13">
          <cell r="B13" t="str">
            <v>穴の川</v>
          </cell>
          <cell r="C13" t="str">
            <v>放水路分派前</v>
          </cell>
          <cell r="D13">
            <v>0.5</v>
          </cell>
          <cell r="E13" t="str">
            <v>&lt;0.5</v>
          </cell>
          <cell r="F13">
            <v>0.7</v>
          </cell>
          <cell r="G13">
            <v>1</v>
          </cell>
          <cell r="H13">
            <v>1.9</v>
          </cell>
        </row>
        <row r="14">
          <cell r="B14" t="str">
            <v>中の沢川</v>
          </cell>
          <cell r="C14" t="str">
            <v>泉橋</v>
          </cell>
          <cell r="D14">
            <v>2</v>
          </cell>
          <cell r="E14">
            <v>0.8</v>
          </cell>
          <cell r="F14">
            <v>0.8</v>
          </cell>
          <cell r="G14">
            <v>0.9</v>
          </cell>
          <cell r="H14">
            <v>1.3</v>
          </cell>
        </row>
        <row r="15">
          <cell r="B15" t="str">
            <v>北の沢川</v>
          </cell>
          <cell r="C15" t="str">
            <v>北の沢４号橋</v>
          </cell>
          <cell r="D15">
            <v>0.7</v>
          </cell>
          <cell r="E15">
            <v>1.3</v>
          </cell>
          <cell r="F15">
            <v>1</v>
          </cell>
          <cell r="G15">
            <v>0.8</v>
          </cell>
          <cell r="H15">
            <v>1.5</v>
          </cell>
        </row>
        <row r="16">
          <cell r="B16" t="str">
            <v>真駒内川</v>
          </cell>
          <cell r="C16" t="str">
            <v>常盤新橋</v>
          </cell>
          <cell r="D16">
            <v>0.5</v>
          </cell>
          <cell r="E16">
            <v>0.7</v>
          </cell>
          <cell r="F16">
            <v>0.8</v>
          </cell>
          <cell r="G16" t="str">
            <v>&lt;0.5</v>
          </cell>
          <cell r="H16">
            <v>1.3</v>
          </cell>
        </row>
        <row r="17">
          <cell r="B17" t="str">
            <v>精進川</v>
          </cell>
          <cell r="C17" t="str">
            <v>市道石山西岡線</v>
          </cell>
          <cell r="D17">
            <v>0.7</v>
          </cell>
          <cell r="E17">
            <v>0.6</v>
          </cell>
          <cell r="F17">
            <v>0.8</v>
          </cell>
          <cell r="G17">
            <v>0.6</v>
          </cell>
          <cell r="H17">
            <v>2.5</v>
          </cell>
        </row>
        <row r="18">
          <cell r="B18" t="str">
            <v>望月寒川</v>
          </cell>
          <cell r="C18" t="str">
            <v>市道石山西岡線</v>
          </cell>
          <cell r="D18">
            <v>0.8</v>
          </cell>
          <cell r="E18">
            <v>1.3</v>
          </cell>
          <cell r="F18">
            <v>1.2</v>
          </cell>
          <cell r="G18">
            <v>1</v>
          </cell>
          <cell r="H18">
            <v>1.2</v>
          </cell>
        </row>
        <row r="19">
          <cell r="B19" t="str">
            <v>月寒川</v>
          </cell>
          <cell r="C19" t="str">
            <v>寒月橋</v>
          </cell>
          <cell r="D19">
            <v>1</v>
          </cell>
          <cell r="E19">
            <v>1.4</v>
          </cell>
          <cell r="F19">
            <v>1</v>
          </cell>
          <cell r="G19">
            <v>1</v>
          </cell>
          <cell r="H19">
            <v>1.8</v>
          </cell>
        </row>
        <row r="20">
          <cell r="B20" t="str">
            <v>ラウネナイ川</v>
          </cell>
          <cell r="C20" t="str">
            <v>最下流</v>
          </cell>
          <cell r="D20">
            <v>0.8</v>
          </cell>
          <cell r="E20">
            <v>1.2</v>
          </cell>
          <cell r="F20">
            <v>1.3</v>
          </cell>
          <cell r="G20">
            <v>1.3</v>
          </cell>
          <cell r="H20">
            <v>1.7</v>
          </cell>
        </row>
        <row r="21">
          <cell r="B21" t="str">
            <v>厚別川</v>
          </cell>
          <cell r="C21" t="str">
            <v>滝の上橋</v>
          </cell>
          <cell r="D21" t="str">
            <v>&lt;0.5</v>
          </cell>
          <cell r="E21">
            <v>0.8</v>
          </cell>
          <cell r="F21">
            <v>0.8</v>
          </cell>
          <cell r="G21">
            <v>0.7</v>
          </cell>
          <cell r="H21">
            <v>1.2</v>
          </cell>
        </row>
        <row r="22">
          <cell r="B22" t="str">
            <v>厚別川</v>
          </cell>
          <cell r="C22" t="str">
            <v>高木橋</v>
          </cell>
          <cell r="D22">
            <v>0.6</v>
          </cell>
          <cell r="E22">
            <v>0.6</v>
          </cell>
          <cell r="F22">
            <v>1.1000000000000001</v>
          </cell>
          <cell r="G22">
            <v>1.3</v>
          </cell>
          <cell r="H22">
            <v>1.2</v>
          </cell>
        </row>
        <row r="23">
          <cell r="B23" t="str">
            <v>山部川</v>
          </cell>
          <cell r="C23" t="str">
            <v>山部橋</v>
          </cell>
          <cell r="D23">
            <v>0.5</v>
          </cell>
          <cell r="E23">
            <v>0.7</v>
          </cell>
          <cell r="F23">
            <v>0.9</v>
          </cell>
          <cell r="G23">
            <v>0.9</v>
          </cell>
          <cell r="H23">
            <v>1.1000000000000001</v>
          </cell>
        </row>
        <row r="24">
          <cell r="B24" t="str">
            <v>清田川</v>
          </cell>
          <cell r="C24" t="str">
            <v>清田一号橋</v>
          </cell>
          <cell r="D24">
            <v>3</v>
          </cell>
          <cell r="E24">
            <v>1</v>
          </cell>
          <cell r="F24">
            <v>1</v>
          </cell>
          <cell r="G24">
            <v>1.3</v>
          </cell>
          <cell r="H24">
            <v>1.3</v>
          </cell>
        </row>
        <row r="25">
          <cell r="B25" t="str">
            <v>三里川</v>
          </cell>
          <cell r="C25" t="str">
            <v>厚別東橋</v>
          </cell>
          <cell r="D25">
            <v>0.5</v>
          </cell>
          <cell r="E25">
            <v>0.6</v>
          </cell>
          <cell r="F25">
            <v>1.3</v>
          </cell>
          <cell r="G25">
            <v>0.9</v>
          </cell>
          <cell r="H25">
            <v>1.2</v>
          </cell>
        </row>
        <row r="26">
          <cell r="B26" t="str">
            <v>吉田川</v>
          </cell>
          <cell r="C26" t="str">
            <v>暗渠入口</v>
          </cell>
          <cell r="D26" t="str">
            <v>&lt;0.5</v>
          </cell>
          <cell r="E26">
            <v>0.9</v>
          </cell>
          <cell r="F26">
            <v>0.9</v>
          </cell>
          <cell r="G26">
            <v>0.9</v>
          </cell>
          <cell r="H26">
            <v>1</v>
          </cell>
        </row>
        <row r="27">
          <cell r="B27" t="str">
            <v>野津幌川</v>
          </cell>
          <cell r="C27" t="str">
            <v>大曲川合流前</v>
          </cell>
          <cell r="D27">
            <v>1.8</v>
          </cell>
          <cell r="E27">
            <v>2.6</v>
          </cell>
          <cell r="F27">
            <v>2.8</v>
          </cell>
          <cell r="G27">
            <v>2.2999999999999998</v>
          </cell>
          <cell r="H27">
            <v>2.6</v>
          </cell>
        </row>
        <row r="28">
          <cell r="B28" t="str">
            <v>大曲川</v>
          </cell>
          <cell r="C28" t="str">
            <v>立花２号橋</v>
          </cell>
          <cell r="D28">
            <v>0.7</v>
          </cell>
          <cell r="E28">
            <v>0.6</v>
          </cell>
          <cell r="F28">
            <v>1.2</v>
          </cell>
          <cell r="G28">
            <v>0.6</v>
          </cell>
          <cell r="H28">
            <v>1.5</v>
          </cell>
        </row>
        <row r="29">
          <cell r="B29" t="str">
            <v>熊の沢川</v>
          </cell>
          <cell r="C29" t="str">
            <v>熊の沢西１号橋</v>
          </cell>
          <cell r="D29">
            <v>1.1000000000000001</v>
          </cell>
          <cell r="E29">
            <v>0.8</v>
          </cell>
          <cell r="F29">
            <v>1.6</v>
          </cell>
          <cell r="G29">
            <v>2.2000000000000002</v>
          </cell>
          <cell r="H29">
            <v>1.9</v>
          </cell>
        </row>
        <row r="30">
          <cell r="B30" t="str">
            <v>小野津幌川</v>
          </cell>
          <cell r="C30" t="str">
            <v>小野津幌川橋</v>
          </cell>
          <cell r="D30">
            <v>1.2</v>
          </cell>
          <cell r="E30">
            <v>1.3</v>
          </cell>
          <cell r="F30">
            <v>2.5</v>
          </cell>
          <cell r="G30">
            <v>1</v>
          </cell>
          <cell r="H30">
            <v>1.5</v>
          </cell>
        </row>
        <row r="31">
          <cell r="B31" t="str">
            <v>豊平川</v>
          </cell>
          <cell r="C31" t="str">
            <v>雁来大橋</v>
          </cell>
          <cell r="D31">
            <v>5.8</v>
          </cell>
          <cell r="E31">
            <v>1.3</v>
          </cell>
          <cell r="F31">
            <v>2</v>
          </cell>
          <cell r="G31">
            <v>0.9</v>
          </cell>
          <cell r="H31">
            <v>1.7</v>
          </cell>
        </row>
        <row r="32">
          <cell r="B32" t="str">
            <v>篠路新川</v>
          </cell>
          <cell r="C32" t="str">
            <v>大野地３の橋</v>
          </cell>
          <cell r="D32">
            <v>5.5</v>
          </cell>
          <cell r="E32">
            <v>2.8</v>
          </cell>
          <cell r="F32">
            <v>3.4</v>
          </cell>
          <cell r="G32">
            <v>4.4000000000000004</v>
          </cell>
          <cell r="H32">
            <v>4.3</v>
          </cell>
        </row>
        <row r="33">
          <cell r="B33" t="str">
            <v>伏籠川</v>
          </cell>
          <cell r="C33" t="str">
            <v>第２五の戸橋</v>
          </cell>
          <cell r="D33">
            <v>5.4</v>
          </cell>
          <cell r="E33">
            <v>3.6</v>
          </cell>
          <cell r="F33">
            <v>1.6</v>
          </cell>
          <cell r="G33">
            <v>3.2</v>
          </cell>
          <cell r="H33">
            <v>2.2000000000000002</v>
          </cell>
        </row>
        <row r="34">
          <cell r="B34" t="str">
            <v>琴似川放水路</v>
          </cell>
          <cell r="C34" t="str">
            <v>上篠路橋</v>
          </cell>
          <cell r="D34">
            <v>3.5</v>
          </cell>
          <cell r="E34">
            <v>1.8</v>
          </cell>
          <cell r="F34">
            <v>1.1000000000000001</v>
          </cell>
          <cell r="G34">
            <v>1.8</v>
          </cell>
          <cell r="H34">
            <v>1.3</v>
          </cell>
        </row>
        <row r="35">
          <cell r="B35" t="str">
            <v>発寒川</v>
          </cell>
          <cell r="C35" t="str">
            <v>紅葉橋</v>
          </cell>
          <cell r="D35">
            <v>3.3</v>
          </cell>
          <cell r="E35">
            <v>2.7</v>
          </cell>
          <cell r="F35">
            <v>2.6</v>
          </cell>
          <cell r="G35">
            <v>3.3</v>
          </cell>
          <cell r="H35">
            <v>2</v>
          </cell>
        </row>
        <row r="36">
          <cell r="B36" t="str">
            <v>琴似川</v>
          </cell>
          <cell r="C36" t="str">
            <v>皐月橋</v>
          </cell>
          <cell r="D36">
            <v>0.9</v>
          </cell>
          <cell r="E36">
            <v>1.4</v>
          </cell>
          <cell r="F36">
            <v>1.8</v>
          </cell>
          <cell r="G36">
            <v>1.5</v>
          </cell>
          <cell r="H36">
            <v>1.4</v>
          </cell>
        </row>
        <row r="37">
          <cell r="B37" t="str">
            <v>琴似発寒川</v>
          </cell>
          <cell r="C37" t="str">
            <v>左股橋</v>
          </cell>
          <cell r="D37">
            <v>0.7</v>
          </cell>
          <cell r="E37" t="str">
            <v>&lt;0.5</v>
          </cell>
          <cell r="F37">
            <v>1.1000000000000001</v>
          </cell>
          <cell r="G37">
            <v>0.9</v>
          </cell>
          <cell r="H37">
            <v>0.95</v>
          </cell>
        </row>
        <row r="38">
          <cell r="B38" t="str">
            <v>左股川</v>
          </cell>
          <cell r="C38" t="str">
            <v>築山橋</v>
          </cell>
          <cell r="D38">
            <v>0.7</v>
          </cell>
          <cell r="E38" t="str">
            <v>&lt;0.5</v>
          </cell>
          <cell r="F38">
            <v>0.9</v>
          </cell>
          <cell r="G38">
            <v>1.3</v>
          </cell>
          <cell r="H38">
            <v>1.2</v>
          </cell>
        </row>
        <row r="39">
          <cell r="B39" t="str">
            <v>中の川</v>
          </cell>
          <cell r="C39" t="str">
            <v>開拓橋</v>
          </cell>
          <cell r="D39">
            <v>0.8</v>
          </cell>
          <cell r="E39">
            <v>0.8</v>
          </cell>
          <cell r="F39">
            <v>1.1000000000000001</v>
          </cell>
          <cell r="G39">
            <v>1.4</v>
          </cell>
          <cell r="H39">
            <v>1.2</v>
          </cell>
        </row>
        <row r="40">
          <cell r="B40" t="str">
            <v>軽川</v>
          </cell>
          <cell r="C40" t="str">
            <v>砂山橋</v>
          </cell>
          <cell r="D40">
            <v>2.6</v>
          </cell>
          <cell r="E40">
            <v>0.7</v>
          </cell>
          <cell r="F40">
            <v>1.1000000000000001</v>
          </cell>
          <cell r="G40">
            <v>1.3</v>
          </cell>
          <cell r="H40">
            <v>1.4</v>
          </cell>
        </row>
        <row r="41">
          <cell r="B41" t="str">
            <v>三樽別川</v>
          </cell>
          <cell r="C41" t="str">
            <v>最下流</v>
          </cell>
          <cell r="D41">
            <v>1</v>
          </cell>
          <cell r="E41">
            <v>0.6</v>
          </cell>
          <cell r="F41">
            <v>1.1000000000000001</v>
          </cell>
          <cell r="G41">
            <v>1</v>
          </cell>
          <cell r="H41">
            <v>1.1000000000000001</v>
          </cell>
        </row>
        <row r="42">
          <cell r="B42" t="str">
            <v>手稲土功川</v>
          </cell>
          <cell r="C42" t="str">
            <v>手稲山口橋</v>
          </cell>
          <cell r="D42">
            <v>2.6</v>
          </cell>
          <cell r="E42">
            <v>1.2</v>
          </cell>
          <cell r="F42">
            <v>2</v>
          </cell>
          <cell r="G42">
            <v>1.6</v>
          </cell>
          <cell r="H42">
            <v>1.2</v>
          </cell>
        </row>
        <row r="43">
          <cell r="B43" t="str">
            <v>盤渓川</v>
          </cell>
          <cell r="C43" t="str">
            <v>最下流</v>
          </cell>
          <cell r="D43">
            <v>0.8</v>
          </cell>
          <cell r="E43">
            <v>0.9</v>
          </cell>
          <cell r="F43">
            <v>0.8</v>
          </cell>
          <cell r="G43">
            <v>1</v>
          </cell>
          <cell r="H43">
            <v>0.75</v>
          </cell>
        </row>
        <row r="44">
          <cell r="B44" t="str">
            <v>注）記載数値は，年２回測定したものの平均値。</v>
          </cell>
        </row>
        <row r="45">
          <cell r="B45" t="str">
            <v>※平成13年度までは河川生活項目調査</v>
          </cell>
        </row>
      </sheetData>
      <sheetData sheetId="5" refreshError="1"/>
      <sheetData sheetId="6" refreshError="1"/>
      <sheetData sheetId="7"/>
      <sheetData sheetId="8">
        <row r="3">
          <cell r="A3" t="str">
            <v>昭40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2-35"/>
      <sheetName val="図2-36"/>
      <sheetName val="図2-37"/>
      <sheetName val="図2-38"/>
      <sheetName val="図2-39"/>
      <sheetName val="図2-41"/>
      <sheetName val="図2-42"/>
      <sheetName val="図2-43"/>
      <sheetName val="印刷用1"/>
      <sheetName val="印刷用2"/>
      <sheetName val="BODﾃﾞｰﾀ（図2-36～図2-39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7"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2</v>
          </cell>
          <cell r="Q37">
            <v>2</v>
          </cell>
          <cell r="R37">
            <v>2</v>
          </cell>
          <cell r="S37">
            <v>2</v>
          </cell>
          <cell r="T37">
            <v>2</v>
          </cell>
          <cell r="U37">
            <v>2</v>
          </cell>
          <cell r="V37">
            <v>2</v>
          </cell>
          <cell r="W37">
            <v>2</v>
          </cell>
          <cell r="X37">
            <v>2</v>
          </cell>
          <cell r="Y37">
            <v>2</v>
          </cell>
          <cell r="Z37">
            <v>2</v>
          </cell>
          <cell r="AA37">
            <v>2</v>
          </cell>
          <cell r="AB37">
            <v>2</v>
          </cell>
          <cell r="AC37">
            <v>2</v>
          </cell>
          <cell r="AD37">
            <v>2</v>
          </cell>
          <cell r="AE37">
            <v>2</v>
          </cell>
          <cell r="AF3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63"/>
  <sheetViews>
    <sheetView showGridLines="0" tabSelected="1" view="pageBreakPreview" zoomScale="55" zoomScaleNormal="85" zoomScaleSheetLayoutView="55" workbookViewId="0">
      <pane xSplit="10" ySplit="4" topLeftCell="K5" activePane="bottomRight" state="frozen"/>
      <selection activeCell="AF117" sqref="AF117"/>
      <selection pane="topRight" activeCell="AF117" sqref="AF117"/>
      <selection pane="bottomLeft" activeCell="AF117" sqref="AF117"/>
      <selection pane="bottomRight" activeCell="AR19" sqref="AR19"/>
    </sheetView>
  </sheetViews>
  <sheetFormatPr defaultRowHeight="14.25"/>
  <cols>
    <col min="1" max="1" width="5.625" style="101" customWidth="1"/>
    <col min="2" max="2" width="9.25" style="100" customWidth="1"/>
    <col min="3" max="3" width="5.625" style="101" customWidth="1"/>
    <col min="4" max="5" width="25.625" style="102" customWidth="1"/>
    <col min="6" max="7" width="5.625" style="101" customWidth="1"/>
    <col min="8" max="8" width="6.625" style="101" customWidth="1"/>
    <col min="9" max="10" width="10.625" style="101" customWidth="1"/>
    <col min="11" max="16" width="8.125" style="102" customWidth="1"/>
    <col min="17" max="22" width="8.125" style="103" customWidth="1"/>
    <col min="23" max="37" width="8.125" style="104" customWidth="1"/>
    <col min="38" max="38" width="5.625" style="330" customWidth="1"/>
    <col min="39" max="39" width="10.625" style="345" customWidth="1"/>
    <col min="40" max="40" width="20.625" style="103" customWidth="1"/>
    <col min="41" max="41" width="11.25" style="102" customWidth="1"/>
    <col min="42" max="16384" width="9" style="102"/>
  </cols>
  <sheetData>
    <row r="1" spans="1:40" ht="28.5">
      <c r="A1" s="105" t="s">
        <v>1496</v>
      </c>
      <c r="D1" s="99"/>
      <c r="AM1" s="337"/>
      <c r="AN1" s="97" t="s">
        <v>1250</v>
      </c>
    </row>
    <row r="2" spans="1:40" s="325" customFormat="1" ht="12" customHeight="1">
      <c r="B2" s="326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403"/>
      <c r="AJ2" s="403"/>
      <c r="AK2" s="403"/>
      <c r="AL2" s="331"/>
      <c r="AM2" s="338"/>
      <c r="AN2" s="328"/>
    </row>
    <row r="3" spans="1:40" s="98" customFormat="1" ht="15.95" customHeight="1">
      <c r="A3" s="674" t="s">
        <v>601</v>
      </c>
      <c r="B3" s="676" t="s">
        <v>521</v>
      </c>
      <c r="C3" s="672" t="s">
        <v>635</v>
      </c>
      <c r="D3" s="674" t="s">
        <v>606</v>
      </c>
      <c r="E3" s="677" t="s">
        <v>608</v>
      </c>
      <c r="F3" s="679" t="s">
        <v>2</v>
      </c>
      <c r="G3" s="674" t="s">
        <v>3</v>
      </c>
      <c r="H3" s="674" t="s">
        <v>4</v>
      </c>
      <c r="I3" s="674" t="s">
        <v>5</v>
      </c>
      <c r="J3" s="674" t="s">
        <v>262</v>
      </c>
      <c r="K3" s="662" t="s">
        <v>255</v>
      </c>
      <c r="L3" s="662" t="s">
        <v>624</v>
      </c>
      <c r="M3" s="662" t="s">
        <v>625</v>
      </c>
      <c r="N3" s="662" t="s">
        <v>626</v>
      </c>
      <c r="O3" s="662" t="s">
        <v>627</v>
      </c>
      <c r="P3" s="662" t="s">
        <v>543</v>
      </c>
      <c r="Q3" s="662" t="s">
        <v>628</v>
      </c>
      <c r="R3" s="662" t="s">
        <v>555</v>
      </c>
      <c r="S3" s="662" t="s">
        <v>343</v>
      </c>
      <c r="T3" s="662" t="s">
        <v>345</v>
      </c>
      <c r="U3" s="662" t="s">
        <v>629</v>
      </c>
      <c r="V3" s="662" t="s">
        <v>554</v>
      </c>
      <c r="W3" s="662" t="s">
        <v>630</v>
      </c>
      <c r="X3" s="662" t="s">
        <v>556</v>
      </c>
      <c r="Y3" s="662" t="s">
        <v>550</v>
      </c>
      <c r="Z3" s="662" t="s">
        <v>552</v>
      </c>
      <c r="AA3" s="662" t="s">
        <v>553</v>
      </c>
      <c r="AB3" s="662" t="s">
        <v>551</v>
      </c>
      <c r="AC3" s="662" t="s">
        <v>548</v>
      </c>
      <c r="AD3" s="662" t="s">
        <v>549</v>
      </c>
      <c r="AE3" s="663" t="s">
        <v>535</v>
      </c>
      <c r="AF3" s="663" t="s">
        <v>536</v>
      </c>
      <c r="AG3" s="662" t="s">
        <v>1284</v>
      </c>
      <c r="AH3" s="664" t="s">
        <v>1294</v>
      </c>
      <c r="AI3" s="664" t="s">
        <v>1293</v>
      </c>
      <c r="AJ3" s="664" t="s">
        <v>1292</v>
      </c>
      <c r="AK3" s="665" t="s">
        <v>1500</v>
      </c>
      <c r="AL3" s="681" t="s">
        <v>632</v>
      </c>
      <c r="AM3" s="682"/>
      <c r="AN3" s="672" t="s">
        <v>605</v>
      </c>
    </row>
    <row r="4" spans="1:40" s="96" customFormat="1" ht="15.95" customHeight="1">
      <c r="A4" s="675"/>
      <c r="B4" s="676"/>
      <c r="C4" s="673"/>
      <c r="D4" s="675"/>
      <c r="E4" s="678"/>
      <c r="F4" s="680"/>
      <c r="G4" s="675"/>
      <c r="H4" s="675"/>
      <c r="I4" s="675"/>
      <c r="J4" s="675"/>
      <c r="K4" s="666">
        <v>1997</v>
      </c>
      <c r="L4" s="667">
        <v>1998</v>
      </c>
      <c r="M4" s="666">
        <v>1999</v>
      </c>
      <c r="N4" s="667">
        <v>2000</v>
      </c>
      <c r="O4" s="666">
        <v>2001</v>
      </c>
      <c r="P4" s="667">
        <v>2002</v>
      </c>
      <c r="Q4" s="666">
        <v>2003</v>
      </c>
      <c r="R4" s="667">
        <v>2004</v>
      </c>
      <c r="S4" s="666">
        <v>2005</v>
      </c>
      <c r="T4" s="667">
        <v>2006</v>
      </c>
      <c r="U4" s="666">
        <v>2007</v>
      </c>
      <c r="V4" s="667">
        <v>2008</v>
      </c>
      <c r="W4" s="666">
        <v>2009</v>
      </c>
      <c r="X4" s="667">
        <v>2010</v>
      </c>
      <c r="Y4" s="666">
        <v>2011</v>
      </c>
      <c r="Z4" s="667">
        <v>2012</v>
      </c>
      <c r="AA4" s="666">
        <v>2013</v>
      </c>
      <c r="AB4" s="667">
        <v>2014</v>
      </c>
      <c r="AC4" s="666">
        <v>2015</v>
      </c>
      <c r="AD4" s="667">
        <v>2016</v>
      </c>
      <c r="AE4" s="666">
        <v>2017</v>
      </c>
      <c r="AF4" s="666">
        <v>2018</v>
      </c>
      <c r="AG4" s="667">
        <v>2019</v>
      </c>
      <c r="AH4" s="668">
        <v>2020</v>
      </c>
      <c r="AI4" s="668">
        <v>2021</v>
      </c>
      <c r="AJ4" s="668">
        <v>2022</v>
      </c>
      <c r="AK4" s="669">
        <v>2023</v>
      </c>
      <c r="AL4" s="670" t="s">
        <v>634</v>
      </c>
      <c r="AM4" s="671" t="s">
        <v>631</v>
      </c>
      <c r="AN4" s="673"/>
    </row>
    <row r="5" spans="1:40" ht="15.95" customHeight="1">
      <c r="A5" s="118">
        <v>101</v>
      </c>
      <c r="B5" s="107" t="s">
        <v>582</v>
      </c>
      <c r="C5" s="114" t="s">
        <v>6</v>
      </c>
      <c r="D5" s="110" t="s">
        <v>7</v>
      </c>
      <c r="E5" s="109" t="s">
        <v>8</v>
      </c>
      <c r="F5" s="106" t="s">
        <v>9</v>
      </c>
      <c r="G5" s="108" t="s">
        <v>10</v>
      </c>
      <c r="H5" s="108" t="s">
        <v>541</v>
      </c>
      <c r="I5" s="108" t="s">
        <v>11</v>
      </c>
      <c r="J5" s="108" t="s">
        <v>263</v>
      </c>
      <c r="K5" s="123">
        <v>10.4</v>
      </c>
      <c r="L5" s="123">
        <v>-1.4</v>
      </c>
      <c r="M5" s="123">
        <v>-2.1</v>
      </c>
      <c r="N5" s="123">
        <v>6.1</v>
      </c>
      <c r="O5" s="124">
        <v>1.0999999999974399</v>
      </c>
      <c r="P5" s="123">
        <v>-6.5</v>
      </c>
      <c r="Q5" s="125">
        <v>9.6999999999999993</v>
      </c>
      <c r="R5" s="126">
        <v>6.1</v>
      </c>
      <c r="S5" s="139" t="s">
        <v>1068</v>
      </c>
      <c r="T5" s="122"/>
      <c r="U5" s="121">
        <v>6.4</v>
      </c>
      <c r="V5" s="122">
        <v>3.3</v>
      </c>
      <c r="W5" s="125">
        <v>-1.9</v>
      </c>
      <c r="X5" s="125">
        <v>2</v>
      </c>
      <c r="Y5" s="139" t="s">
        <v>1068</v>
      </c>
      <c r="Z5" s="122"/>
      <c r="AA5" s="122">
        <v>2</v>
      </c>
      <c r="AB5" s="139" t="s">
        <v>1069</v>
      </c>
      <c r="AC5" s="122">
        <v>0.4</v>
      </c>
      <c r="AD5" s="139" t="s">
        <v>1068</v>
      </c>
      <c r="AE5" s="122"/>
      <c r="AF5" s="122">
        <v>1.200000000000756</v>
      </c>
      <c r="AG5" s="139" t="s">
        <v>1333</v>
      </c>
      <c r="AH5" s="121">
        <v>3.0999999999998806</v>
      </c>
      <c r="AI5" s="135" t="s">
        <v>1502</v>
      </c>
      <c r="AJ5" s="624" t="s">
        <v>247</v>
      </c>
      <c r="AK5" s="122">
        <v>2.500000000001279</v>
      </c>
      <c r="AL5" s="554" t="s">
        <v>1500</v>
      </c>
      <c r="AM5" s="555">
        <v>16.055299999999999</v>
      </c>
      <c r="AN5" s="392"/>
    </row>
    <row r="6" spans="1:40" ht="15.95" customHeight="1">
      <c r="A6" s="119">
        <v>102</v>
      </c>
      <c r="B6" s="107" t="s">
        <v>410</v>
      </c>
      <c r="C6" s="114" t="s">
        <v>6</v>
      </c>
      <c r="D6" s="110" t="s">
        <v>693</v>
      </c>
      <c r="E6" s="109" t="s">
        <v>1400</v>
      </c>
      <c r="F6" s="111" t="s">
        <v>12</v>
      </c>
      <c r="G6" s="112" t="s">
        <v>10</v>
      </c>
      <c r="H6" s="112" t="s">
        <v>541</v>
      </c>
      <c r="I6" s="112" t="s">
        <v>11</v>
      </c>
      <c r="J6" s="112" t="s">
        <v>263</v>
      </c>
      <c r="K6" s="123">
        <v>9.1999999999999993</v>
      </c>
      <c r="L6" s="122">
        <v>-0.9</v>
      </c>
      <c r="M6" s="122">
        <v>-2.9</v>
      </c>
      <c r="N6" s="122">
        <v>6</v>
      </c>
      <c r="O6" s="122">
        <v>1.10000000000099</v>
      </c>
      <c r="P6" s="138" t="s">
        <v>256</v>
      </c>
      <c r="Q6" s="125">
        <v>9.4</v>
      </c>
      <c r="R6" s="138" t="s">
        <v>260</v>
      </c>
      <c r="S6" s="135" t="s">
        <v>1068</v>
      </c>
      <c r="T6" s="122"/>
      <c r="U6" s="121">
        <v>0.2</v>
      </c>
      <c r="V6" s="122">
        <v>3.1</v>
      </c>
      <c r="W6" s="125">
        <v>-4.5999999999999996</v>
      </c>
      <c r="X6" s="125">
        <v>1.4</v>
      </c>
      <c r="Y6" s="139" t="s">
        <v>1068</v>
      </c>
      <c r="Z6" s="122"/>
      <c r="AA6" s="122">
        <v>1.1000000000000001</v>
      </c>
      <c r="AB6" s="139" t="s">
        <v>1069</v>
      </c>
      <c r="AC6" s="122">
        <v>-1.1000000000000001</v>
      </c>
      <c r="AD6" s="139" t="s">
        <v>1068</v>
      </c>
      <c r="AE6" s="122"/>
      <c r="AF6" s="122">
        <v>0</v>
      </c>
      <c r="AG6" s="139" t="s">
        <v>1333</v>
      </c>
      <c r="AH6" s="121">
        <v>3.0999999999998806</v>
      </c>
      <c r="AI6" s="135" t="s">
        <v>1502</v>
      </c>
      <c r="AJ6" s="624" t="s">
        <v>247</v>
      </c>
      <c r="AK6" s="122">
        <v>-0.19999999999953388</v>
      </c>
      <c r="AL6" s="554" t="s">
        <v>1500</v>
      </c>
      <c r="AM6" s="555">
        <v>17.855399999999999</v>
      </c>
      <c r="AN6" s="392"/>
    </row>
    <row r="7" spans="1:40" ht="15.95" customHeight="1">
      <c r="A7" s="119">
        <v>103</v>
      </c>
      <c r="B7" s="107" t="s">
        <v>583</v>
      </c>
      <c r="C7" s="114" t="s">
        <v>6</v>
      </c>
      <c r="D7" s="110" t="s">
        <v>677</v>
      </c>
      <c r="E7" s="109" t="s">
        <v>14</v>
      </c>
      <c r="F7" s="111" t="s">
        <v>9</v>
      </c>
      <c r="G7" s="112" t="s">
        <v>10</v>
      </c>
      <c r="H7" s="112" t="s">
        <v>541</v>
      </c>
      <c r="I7" s="112" t="s">
        <v>11</v>
      </c>
      <c r="J7" s="112" t="s">
        <v>263</v>
      </c>
      <c r="K7" s="136" t="s">
        <v>695</v>
      </c>
      <c r="L7" s="122"/>
      <c r="M7" s="122"/>
      <c r="N7" s="122"/>
      <c r="O7" s="122"/>
      <c r="P7" s="122"/>
      <c r="Q7" s="121">
        <v>41.8</v>
      </c>
      <c r="R7" s="126">
        <v>6.5</v>
      </c>
      <c r="S7" s="135" t="s">
        <v>1070</v>
      </c>
      <c r="T7" s="122"/>
      <c r="U7" s="122"/>
      <c r="V7" s="122"/>
      <c r="W7" s="122">
        <v>22.8</v>
      </c>
      <c r="X7" s="126">
        <v>4.7</v>
      </c>
      <c r="Y7" s="139" t="s">
        <v>1068</v>
      </c>
      <c r="Z7" s="122"/>
      <c r="AA7" s="122">
        <v>10.199999999999999</v>
      </c>
      <c r="AB7" s="139" t="s">
        <v>1069</v>
      </c>
      <c r="AC7" s="122">
        <v>6.7</v>
      </c>
      <c r="AD7" s="139" t="s">
        <v>1334</v>
      </c>
      <c r="AE7" s="122"/>
      <c r="AF7" s="122">
        <v>10.900000000003018</v>
      </c>
      <c r="AG7" s="139"/>
      <c r="AH7" s="138" t="s">
        <v>1339</v>
      </c>
      <c r="AI7" s="135" t="s">
        <v>1502</v>
      </c>
      <c r="AJ7" s="624" t="s">
        <v>247</v>
      </c>
      <c r="AK7" s="142">
        <v>0.49999999999883471</v>
      </c>
      <c r="AL7" s="554" t="s">
        <v>1500</v>
      </c>
      <c r="AM7" s="555">
        <v>17.549900000000001</v>
      </c>
      <c r="AN7" s="392" t="s">
        <v>1350</v>
      </c>
    </row>
    <row r="8" spans="1:40" s="231" customFormat="1" ht="15.95" customHeight="1">
      <c r="A8" s="214">
        <v>104</v>
      </c>
      <c r="B8" s="215" t="s">
        <v>584</v>
      </c>
      <c r="C8" s="216" t="s">
        <v>6</v>
      </c>
      <c r="D8" s="217" t="s">
        <v>650</v>
      </c>
      <c r="E8" s="218" t="s">
        <v>16</v>
      </c>
      <c r="F8" s="219" t="s">
        <v>9</v>
      </c>
      <c r="G8" s="220" t="s">
        <v>10</v>
      </c>
      <c r="H8" s="220" t="s">
        <v>541</v>
      </c>
      <c r="I8" s="220" t="s">
        <v>11</v>
      </c>
      <c r="J8" s="220" t="s">
        <v>263</v>
      </c>
      <c r="K8" s="224">
        <v>9.4</v>
      </c>
      <c r="L8" s="223">
        <v>-0.7</v>
      </c>
      <c r="M8" s="223">
        <v>-3.1</v>
      </c>
      <c r="N8" s="224">
        <v>6.2</v>
      </c>
      <c r="O8" s="222">
        <v>9.99999999997669E-2</v>
      </c>
      <c r="P8" s="224">
        <v>-7.6</v>
      </c>
      <c r="Q8" s="225">
        <v>9.1</v>
      </c>
      <c r="R8" s="226">
        <v>5.3</v>
      </c>
      <c r="S8" s="227" t="s">
        <v>1068</v>
      </c>
      <c r="T8" s="228"/>
      <c r="U8" s="229">
        <v>1</v>
      </c>
      <c r="V8" s="228">
        <v>2.6</v>
      </c>
      <c r="W8" s="225">
        <v>-3.8</v>
      </c>
      <c r="X8" s="225">
        <v>2.1</v>
      </c>
      <c r="Y8" s="227" t="s">
        <v>1068</v>
      </c>
      <c r="Z8" s="228"/>
      <c r="AA8" s="228">
        <v>2.4</v>
      </c>
      <c r="AB8" s="226">
        <v>-1.3</v>
      </c>
      <c r="AC8" s="226">
        <v>0.6</v>
      </c>
      <c r="AD8" s="228"/>
      <c r="AE8" s="228"/>
      <c r="AF8" s="228" t="s">
        <v>247</v>
      </c>
      <c r="AG8" s="228" t="s">
        <v>247</v>
      </c>
      <c r="AH8" s="228" t="s">
        <v>247</v>
      </c>
      <c r="AI8" s="228" t="s">
        <v>247</v>
      </c>
      <c r="AJ8" s="625" t="s">
        <v>247</v>
      </c>
      <c r="AK8" s="230" t="s">
        <v>247</v>
      </c>
      <c r="AL8" s="556" t="s">
        <v>548</v>
      </c>
      <c r="AM8" s="557">
        <v>15.850899999999999</v>
      </c>
      <c r="AN8" s="393" t="s">
        <v>1377</v>
      </c>
    </row>
    <row r="9" spans="1:40" ht="15.95" customHeight="1">
      <c r="A9" s="119">
        <v>105</v>
      </c>
      <c r="B9" s="107" t="s">
        <v>585</v>
      </c>
      <c r="C9" s="114" t="s">
        <v>6</v>
      </c>
      <c r="D9" s="110" t="s">
        <v>1391</v>
      </c>
      <c r="E9" s="109" t="s">
        <v>18</v>
      </c>
      <c r="F9" s="111" t="s">
        <v>12</v>
      </c>
      <c r="G9" s="112" t="s">
        <v>19</v>
      </c>
      <c r="H9" s="112" t="s">
        <v>541</v>
      </c>
      <c r="I9" s="112" t="s">
        <v>11</v>
      </c>
      <c r="J9" s="112" t="s">
        <v>263</v>
      </c>
      <c r="K9" s="128">
        <v>8.4</v>
      </c>
      <c r="L9" s="128">
        <v>-1.2</v>
      </c>
      <c r="M9" s="128">
        <v>-3.6</v>
      </c>
      <c r="N9" s="123">
        <v>5.3</v>
      </c>
      <c r="O9" s="124">
        <v>0.70000000000192097</v>
      </c>
      <c r="P9" s="123">
        <v>-7.4</v>
      </c>
      <c r="Q9" s="125">
        <v>7.9</v>
      </c>
      <c r="R9" s="126">
        <v>1.4</v>
      </c>
      <c r="S9" s="139" t="s">
        <v>1068</v>
      </c>
      <c r="T9" s="122"/>
      <c r="U9" s="121">
        <v>2.2000000000000002</v>
      </c>
      <c r="V9" s="126">
        <v>1.8</v>
      </c>
      <c r="W9" s="135" t="s">
        <v>1070</v>
      </c>
      <c r="X9" s="122"/>
      <c r="Y9" s="122"/>
      <c r="Z9" s="122"/>
      <c r="AA9" s="122">
        <v>-3</v>
      </c>
      <c r="AB9" s="126">
        <v>-0.7</v>
      </c>
      <c r="AC9" s="126">
        <v>0</v>
      </c>
      <c r="AD9" s="126">
        <v>-0.4</v>
      </c>
      <c r="AE9" s="139" t="s">
        <v>1069</v>
      </c>
      <c r="AF9" s="122">
        <v>-0.19999999999953388</v>
      </c>
      <c r="AG9" s="126">
        <v>2.6000000000010459</v>
      </c>
      <c r="AH9" s="121">
        <v>1.1000000000009891</v>
      </c>
      <c r="AI9" s="122" t="s">
        <v>247</v>
      </c>
      <c r="AJ9" s="624" t="s">
        <v>247</v>
      </c>
      <c r="AK9" s="122" t="s">
        <v>247</v>
      </c>
      <c r="AL9" s="554" t="s">
        <v>1340</v>
      </c>
      <c r="AM9" s="555">
        <v>17.899899999999999</v>
      </c>
      <c r="AN9" s="392"/>
    </row>
    <row r="10" spans="1:40" ht="15.95" customHeight="1">
      <c r="A10" s="119">
        <v>106</v>
      </c>
      <c r="B10" s="107" t="s">
        <v>411</v>
      </c>
      <c r="C10" s="114" t="s">
        <v>6</v>
      </c>
      <c r="D10" s="110" t="s">
        <v>664</v>
      </c>
      <c r="E10" s="109" t="s">
        <v>24</v>
      </c>
      <c r="F10" s="111" t="s">
        <v>12</v>
      </c>
      <c r="G10" s="112" t="s">
        <v>19</v>
      </c>
      <c r="H10" s="112" t="s">
        <v>541</v>
      </c>
      <c r="I10" s="112" t="s">
        <v>11</v>
      </c>
      <c r="J10" s="112" t="s">
        <v>263</v>
      </c>
      <c r="K10" s="123">
        <v>8.3000000000000007</v>
      </c>
      <c r="L10" s="128">
        <v>-1.4</v>
      </c>
      <c r="M10" s="128">
        <v>-3.9</v>
      </c>
      <c r="N10" s="123">
        <v>4.4000000000000004</v>
      </c>
      <c r="O10" s="124">
        <v>0.70000000000192097</v>
      </c>
      <c r="P10" s="123">
        <v>-7</v>
      </c>
      <c r="Q10" s="125">
        <v>8.6999999999999993</v>
      </c>
      <c r="R10" s="126">
        <v>5.7</v>
      </c>
      <c r="S10" s="139" t="s">
        <v>1071</v>
      </c>
      <c r="T10" s="122"/>
      <c r="U10" s="122"/>
      <c r="V10" s="121">
        <v>0.7</v>
      </c>
      <c r="W10" s="135" t="s">
        <v>1070</v>
      </c>
      <c r="X10" s="122"/>
      <c r="Y10" s="122"/>
      <c r="Z10" s="122"/>
      <c r="AA10" s="122">
        <v>-3.9</v>
      </c>
      <c r="AB10" s="126">
        <v>-1.1000000000000001</v>
      </c>
      <c r="AC10" s="126">
        <v>0.1</v>
      </c>
      <c r="AD10" s="126">
        <v>-0.9</v>
      </c>
      <c r="AE10" s="139" t="s">
        <v>1069</v>
      </c>
      <c r="AF10" s="122">
        <v>-0.49999999999883471</v>
      </c>
      <c r="AG10" s="126">
        <v>3.9000000000015689</v>
      </c>
      <c r="AH10" s="121">
        <v>0.79999999999813554</v>
      </c>
      <c r="AI10" s="135" t="s">
        <v>1502</v>
      </c>
      <c r="AJ10" s="624" t="s">
        <v>247</v>
      </c>
      <c r="AK10" s="122">
        <v>-3.3999999999991815</v>
      </c>
      <c r="AL10" s="554" t="s">
        <v>1500</v>
      </c>
      <c r="AM10" s="555">
        <v>18.3842</v>
      </c>
      <c r="AN10" s="392"/>
    </row>
    <row r="11" spans="1:40" ht="15.95" customHeight="1">
      <c r="A11" s="119">
        <v>107</v>
      </c>
      <c r="B11" s="107" t="s">
        <v>412</v>
      </c>
      <c r="C11" s="114" t="s">
        <v>6</v>
      </c>
      <c r="D11" s="110" t="s">
        <v>557</v>
      </c>
      <c r="E11" s="109" t="s">
        <v>26</v>
      </c>
      <c r="F11" s="111" t="s">
        <v>12</v>
      </c>
      <c r="G11" s="112" t="s">
        <v>19</v>
      </c>
      <c r="H11" s="112" t="s">
        <v>541</v>
      </c>
      <c r="I11" s="112" t="s">
        <v>11</v>
      </c>
      <c r="J11" s="112" t="s">
        <v>263</v>
      </c>
      <c r="K11" s="136" t="s">
        <v>707</v>
      </c>
      <c r="L11" s="122"/>
      <c r="M11" s="122"/>
      <c r="N11" s="122"/>
      <c r="O11" s="122"/>
      <c r="P11" s="122"/>
      <c r="Q11" s="122"/>
      <c r="R11" s="121">
        <v>11.8</v>
      </c>
      <c r="S11" s="139" t="s">
        <v>1071</v>
      </c>
      <c r="T11" s="122"/>
      <c r="U11" s="122"/>
      <c r="V11" s="122">
        <v>2.8</v>
      </c>
      <c r="W11" s="125">
        <v>-4.5999999999999996</v>
      </c>
      <c r="X11" s="125">
        <v>2.4</v>
      </c>
      <c r="Y11" s="139" t="s">
        <v>1068</v>
      </c>
      <c r="Z11" s="122"/>
      <c r="AA11" s="121">
        <v>0.6</v>
      </c>
      <c r="AB11" s="126">
        <v>-1.1000000000000001</v>
      </c>
      <c r="AC11" s="126">
        <v>1.1000000000000001</v>
      </c>
      <c r="AD11" s="126">
        <v>-0.9</v>
      </c>
      <c r="AE11" s="139" t="s">
        <v>1069</v>
      </c>
      <c r="AF11" s="122">
        <v>-0.10000000000331966</v>
      </c>
      <c r="AG11" s="126">
        <v>1.5000000000000568</v>
      </c>
      <c r="AH11" s="121">
        <v>0.70000000000192131</v>
      </c>
      <c r="AI11" s="121">
        <v>-0.59999999999860165</v>
      </c>
      <c r="AJ11" s="126">
        <v>0.99999999999766942</v>
      </c>
      <c r="AK11" s="122">
        <v>-9.9999999999766942E-2</v>
      </c>
      <c r="AL11" s="554" t="s">
        <v>1500</v>
      </c>
      <c r="AM11" s="555">
        <v>19.073</v>
      </c>
      <c r="AN11" s="392"/>
    </row>
    <row r="12" spans="1:40" ht="15.95" customHeight="1">
      <c r="A12" s="119">
        <v>108</v>
      </c>
      <c r="B12" s="107" t="s">
        <v>413</v>
      </c>
      <c r="C12" s="114" t="s">
        <v>6</v>
      </c>
      <c r="D12" s="110" t="s">
        <v>708</v>
      </c>
      <c r="E12" s="109" t="s">
        <v>1401</v>
      </c>
      <c r="F12" s="111" t="s">
        <v>9</v>
      </c>
      <c r="G12" s="112" t="s">
        <v>10</v>
      </c>
      <c r="H12" s="112" t="s">
        <v>541</v>
      </c>
      <c r="I12" s="112" t="s">
        <v>11</v>
      </c>
      <c r="J12" s="112" t="s">
        <v>263</v>
      </c>
      <c r="K12" s="136" t="s">
        <v>707</v>
      </c>
      <c r="L12" s="122"/>
      <c r="M12" s="122"/>
      <c r="N12" s="122"/>
      <c r="O12" s="122"/>
      <c r="P12" s="122"/>
      <c r="Q12" s="122"/>
      <c r="R12" s="121">
        <v>20.7</v>
      </c>
      <c r="S12" s="139" t="s">
        <v>1071</v>
      </c>
      <c r="T12" s="122"/>
      <c r="U12" s="122"/>
      <c r="V12" s="122">
        <v>1.6</v>
      </c>
      <c r="W12" s="125">
        <v>-3.7</v>
      </c>
      <c r="X12" s="125">
        <v>1.4</v>
      </c>
      <c r="Y12" s="139" t="s">
        <v>1068</v>
      </c>
      <c r="Z12" s="122"/>
      <c r="AA12" s="122">
        <v>2.1</v>
      </c>
      <c r="AB12" s="139" t="s">
        <v>1069</v>
      </c>
      <c r="AC12" s="122">
        <v>-1.5</v>
      </c>
      <c r="AD12" s="126">
        <v>1.6</v>
      </c>
      <c r="AE12" s="139" t="s">
        <v>1069</v>
      </c>
      <c r="AF12" s="122">
        <v>-1.300000000000523</v>
      </c>
      <c r="AG12" s="139" t="s">
        <v>1333</v>
      </c>
      <c r="AH12" s="121">
        <v>5.2000000000020918</v>
      </c>
      <c r="AI12" s="121">
        <v>-2.400000000001512</v>
      </c>
      <c r="AJ12" s="125" t="s">
        <v>247</v>
      </c>
      <c r="AK12" s="122" t="s">
        <v>247</v>
      </c>
      <c r="AL12" s="554" t="s">
        <v>1352</v>
      </c>
      <c r="AM12" s="555">
        <v>25.169</v>
      </c>
      <c r="AN12" s="392"/>
    </row>
    <row r="13" spans="1:40" ht="15.95" customHeight="1">
      <c r="A13" s="119">
        <v>109</v>
      </c>
      <c r="B13" s="107" t="s">
        <v>415</v>
      </c>
      <c r="C13" s="114" t="s">
        <v>6</v>
      </c>
      <c r="D13" s="110" t="s">
        <v>29</v>
      </c>
      <c r="E13" s="109" t="s">
        <v>1402</v>
      </c>
      <c r="F13" s="111" t="s">
        <v>9</v>
      </c>
      <c r="G13" s="112" t="s">
        <v>31</v>
      </c>
      <c r="H13" s="112" t="s">
        <v>541</v>
      </c>
      <c r="I13" s="112" t="s">
        <v>11</v>
      </c>
      <c r="J13" s="112" t="s">
        <v>263</v>
      </c>
      <c r="K13" s="136" t="s">
        <v>707</v>
      </c>
      <c r="L13" s="122"/>
      <c r="M13" s="122"/>
      <c r="N13" s="122"/>
      <c r="O13" s="122"/>
      <c r="P13" s="122"/>
      <c r="Q13" s="122"/>
      <c r="R13" s="121">
        <v>13.4</v>
      </c>
      <c r="S13" s="135" t="s">
        <v>1072</v>
      </c>
      <c r="T13" s="122"/>
      <c r="U13" s="122"/>
      <c r="V13" s="122"/>
      <c r="W13" s="122"/>
      <c r="X13" s="122">
        <v>-3</v>
      </c>
      <c r="Y13" s="139" t="s">
        <v>1072</v>
      </c>
      <c r="Z13" s="122"/>
      <c r="AA13" s="122"/>
      <c r="AB13" s="122"/>
      <c r="AC13" s="122"/>
      <c r="AD13" s="121">
        <v>2.2999999999999998</v>
      </c>
      <c r="AE13" s="135" t="s">
        <v>1353</v>
      </c>
      <c r="AF13" s="122" t="s">
        <v>247</v>
      </c>
      <c r="AG13" s="122" t="s">
        <v>247</v>
      </c>
      <c r="AH13" s="122" t="s">
        <v>247</v>
      </c>
      <c r="AI13" s="121">
        <v>2.1999999999984254</v>
      </c>
      <c r="AJ13" s="125">
        <v>1.9999999999988916</v>
      </c>
      <c r="AK13" s="141" t="s">
        <v>247</v>
      </c>
      <c r="AL13" s="554" t="s">
        <v>1380</v>
      </c>
      <c r="AM13" s="555">
        <v>31.895900000000001</v>
      </c>
      <c r="AN13" s="392"/>
    </row>
    <row r="14" spans="1:40" ht="15.95" customHeight="1">
      <c r="A14" s="119">
        <v>110</v>
      </c>
      <c r="B14" s="107" t="s">
        <v>416</v>
      </c>
      <c r="C14" s="114" t="s">
        <v>6</v>
      </c>
      <c r="D14" s="110" t="s">
        <v>1392</v>
      </c>
      <c r="E14" s="109" t="s">
        <v>1403</v>
      </c>
      <c r="F14" s="111" t="s">
        <v>12</v>
      </c>
      <c r="G14" s="112" t="s">
        <v>19</v>
      </c>
      <c r="H14" s="112" t="s">
        <v>541</v>
      </c>
      <c r="I14" s="112" t="s">
        <v>11</v>
      </c>
      <c r="J14" s="112" t="s">
        <v>263</v>
      </c>
      <c r="K14" s="136" t="s">
        <v>707</v>
      </c>
      <c r="L14" s="122"/>
      <c r="M14" s="122"/>
      <c r="N14" s="122"/>
      <c r="O14" s="122"/>
      <c r="P14" s="122"/>
      <c r="Q14" s="122"/>
      <c r="R14" s="121">
        <v>14.1</v>
      </c>
      <c r="S14" s="122"/>
      <c r="T14" s="122"/>
      <c r="U14" s="122"/>
      <c r="V14" s="139" t="s">
        <v>314</v>
      </c>
      <c r="W14" s="126">
        <v>-3.9</v>
      </c>
      <c r="X14" s="126">
        <v>0.9</v>
      </c>
      <c r="Y14" s="139" t="s">
        <v>1068</v>
      </c>
      <c r="Z14" s="122"/>
      <c r="AA14" s="122">
        <v>3.5</v>
      </c>
      <c r="AB14" s="126">
        <v>-0.3</v>
      </c>
      <c r="AC14" s="126">
        <v>2.2999999999999998</v>
      </c>
      <c r="AD14" s="126">
        <v>0.1</v>
      </c>
      <c r="AE14" s="139" t="s">
        <v>1069</v>
      </c>
      <c r="AF14" s="122">
        <v>1.1000000000009891</v>
      </c>
      <c r="AG14" s="126">
        <v>3.1999999999996476</v>
      </c>
      <c r="AH14" s="121">
        <v>0.59999999999860165</v>
      </c>
      <c r="AI14" s="121">
        <v>0.60000000000215437</v>
      </c>
      <c r="AJ14" s="125">
        <v>1.6999999999995907</v>
      </c>
      <c r="AK14" s="141">
        <v>0.19999999999953388</v>
      </c>
      <c r="AL14" s="554" t="s">
        <v>1500</v>
      </c>
      <c r="AM14" s="555">
        <v>16.5046</v>
      </c>
      <c r="AN14" s="392" t="s">
        <v>319</v>
      </c>
    </row>
    <row r="15" spans="1:40" ht="15.95" customHeight="1">
      <c r="A15" s="119">
        <v>111</v>
      </c>
      <c r="B15" s="107" t="s">
        <v>417</v>
      </c>
      <c r="C15" s="114" t="s">
        <v>6</v>
      </c>
      <c r="D15" s="110" t="s">
        <v>1393</v>
      </c>
      <c r="E15" s="109" t="s">
        <v>35</v>
      </c>
      <c r="F15" s="111" t="s">
        <v>9</v>
      </c>
      <c r="G15" s="112" t="s">
        <v>36</v>
      </c>
      <c r="H15" s="112" t="s">
        <v>541</v>
      </c>
      <c r="I15" s="112" t="s">
        <v>11</v>
      </c>
      <c r="J15" s="112" t="s">
        <v>263</v>
      </c>
      <c r="K15" s="135" t="s">
        <v>707</v>
      </c>
      <c r="L15" s="122"/>
      <c r="M15" s="122"/>
      <c r="N15" s="122"/>
      <c r="O15" s="122"/>
      <c r="P15" s="122"/>
      <c r="Q15" s="122"/>
      <c r="R15" s="121">
        <v>28.7</v>
      </c>
      <c r="S15" s="139" t="s">
        <v>1071</v>
      </c>
      <c r="T15" s="122"/>
      <c r="U15" s="122"/>
      <c r="V15" s="122">
        <v>5.4</v>
      </c>
      <c r="W15" s="139" t="s">
        <v>1070</v>
      </c>
      <c r="X15" s="122"/>
      <c r="Y15" s="122"/>
      <c r="Z15" s="122"/>
      <c r="AA15" s="122">
        <v>3.9</v>
      </c>
      <c r="AB15" s="126">
        <v>0.2</v>
      </c>
      <c r="AC15" s="126">
        <v>0.9</v>
      </c>
      <c r="AD15" s="139" t="s">
        <v>1068</v>
      </c>
      <c r="AE15" s="122"/>
      <c r="AF15" s="122">
        <v>2.2999999999981924</v>
      </c>
      <c r="AG15" s="126">
        <v>5.3000000000018588</v>
      </c>
      <c r="AH15" s="121">
        <v>0.89999999999790248</v>
      </c>
      <c r="AI15" s="135" t="s">
        <v>1503</v>
      </c>
      <c r="AJ15" s="122" t="s">
        <v>247</v>
      </c>
      <c r="AK15" s="142">
        <v>0.49999999999883471</v>
      </c>
      <c r="AL15" s="554" t="s">
        <v>1500</v>
      </c>
      <c r="AM15" s="555">
        <v>20.635000000000002</v>
      </c>
      <c r="AN15" s="392"/>
    </row>
    <row r="16" spans="1:40" s="231" customFormat="1" ht="15.95" customHeight="1">
      <c r="A16" s="214">
        <v>201</v>
      </c>
      <c r="B16" s="215" t="s">
        <v>418</v>
      </c>
      <c r="C16" s="216" t="s">
        <v>38</v>
      </c>
      <c r="D16" s="217" t="s">
        <v>713</v>
      </c>
      <c r="E16" s="218" t="s">
        <v>40</v>
      </c>
      <c r="F16" s="219" t="s">
        <v>9</v>
      </c>
      <c r="G16" s="220" t="s">
        <v>19</v>
      </c>
      <c r="H16" s="220" t="s">
        <v>541</v>
      </c>
      <c r="I16" s="220" t="s">
        <v>11</v>
      </c>
      <c r="J16" s="220" t="s">
        <v>263</v>
      </c>
      <c r="K16" s="223">
        <v>9.3000000000000007</v>
      </c>
      <c r="L16" s="223">
        <v>2.2000000000000002</v>
      </c>
      <c r="M16" s="223">
        <v>-2.2000000000000002</v>
      </c>
      <c r="N16" s="224">
        <v>5.3</v>
      </c>
      <c r="O16" s="222">
        <v>1.50000000000006</v>
      </c>
      <c r="P16" s="224">
        <v>-7.6</v>
      </c>
      <c r="Q16" s="225">
        <v>8.4</v>
      </c>
      <c r="R16" s="226">
        <v>5.4</v>
      </c>
      <c r="S16" s="227" t="s">
        <v>1068</v>
      </c>
      <c r="T16" s="228"/>
      <c r="U16" s="229">
        <v>2.2999999999999998</v>
      </c>
      <c r="V16" s="228">
        <v>4.2</v>
      </c>
      <c r="W16" s="225">
        <v>-5.4</v>
      </c>
      <c r="X16" s="225">
        <v>2.7</v>
      </c>
      <c r="Y16" s="225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625"/>
      <c r="AK16" s="228" t="s">
        <v>247</v>
      </c>
      <c r="AL16" s="556" t="s">
        <v>556</v>
      </c>
      <c r="AM16" s="557">
        <v>15.4176</v>
      </c>
      <c r="AN16" s="393" t="s">
        <v>522</v>
      </c>
    </row>
    <row r="17" spans="1:40" ht="15.95" customHeight="1">
      <c r="A17" s="119">
        <v>202</v>
      </c>
      <c r="B17" s="107" t="s">
        <v>385</v>
      </c>
      <c r="C17" s="114" t="s">
        <v>38</v>
      </c>
      <c r="D17" s="110" t="s">
        <v>714</v>
      </c>
      <c r="E17" s="109" t="s">
        <v>42</v>
      </c>
      <c r="F17" s="111" t="s">
        <v>9</v>
      </c>
      <c r="G17" s="112" t="s">
        <v>31</v>
      </c>
      <c r="H17" s="112" t="s">
        <v>541</v>
      </c>
      <c r="I17" s="112" t="s">
        <v>539</v>
      </c>
      <c r="J17" s="112" t="s">
        <v>264</v>
      </c>
      <c r="K17" s="128">
        <v>5.5</v>
      </c>
      <c r="L17" s="137" t="s">
        <v>300</v>
      </c>
      <c r="M17" s="137" t="s">
        <v>300</v>
      </c>
      <c r="N17" s="123">
        <v>4.9000000000000004</v>
      </c>
      <c r="O17" s="124">
        <v>0.40000000000084401</v>
      </c>
      <c r="P17" s="123">
        <v>-5.9</v>
      </c>
      <c r="Q17" s="125">
        <v>13.7</v>
      </c>
      <c r="R17" s="139" t="s">
        <v>636</v>
      </c>
      <c r="S17" s="122">
        <v>9</v>
      </c>
      <c r="T17" s="125">
        <v>5.3</v>
      </c>
      <c r="U17" s="125">
        <v>5.4</v>
      </c>
      <c r="V17" s="125">
        <v>12.1</v>
      </c>
      <c r="W17" s="125">
        <v>3.5</v>
      </c>
      <c r="X17" s="125">
        <v>-1.5</v>
      </c>
      <c r="Y17" s="125">
        <v>0.6</v>
      </c>
      <c r="Z17" s="125">
        <v>4.2</v>
      </c>
      <c r="AA17" s="139" t="s">
        <v>1068</v>
      </c>
      <c r="AB17" s="122"/>
      <c r="AC17" s="122">
        <v>-0.2</v>
      </c>
      <c r="AD17" s="126">
        <v>-1.8</v>
      </c>
      <c r="AE17" s="122">
        <v>2</v>
      </c>
      <c r="AF17" s="139" t="s">
        <v>1334</v>
      </c>
      <c r="AG17" s="122" t="s">
        <v>247</v>
      </c>
      <c r="AH17" s="121">
        <v>11.599999999999611</v>
      </c>
      <c r="AI17" s="121">
        <v>-1.6999999999995907</v>
      </c>
      <c r="AJ17" s="626" t="s">
        <v>247</v>
      </c>
      <c r="AK17" s="122" t="s">
        <v>247</v>
      </c>
      <c r="AL17" s="554" t="s">
        <v>1352</v>
      </c>
      <c r="AM17" s="558">
        <v>11.479699999999999</v>
      </c>
      <c r="AN17" s="392"/>
    </row>
    <row r="18" spans="1:40" ht="15.95" customHeight="1">
      <c r="A18" s="119">
        <v>203</v>
      </c>
      <c r="B18" s="107" t="s">
        <v>383</v>
      </c>
      <c r="C18" s="114" t="s">
        <v>38</v>
      </c>
      <c r="D18" s="110" t="s">
        <v>565</v>
      </c>
      <c r="E18" s="109" t="s">
        <v>44</v>
      </c>
      <c r="F18" s="111" t="s">
        <v>9</v>
      </c>
      <c r="G18" s="112" t="s">
        <v>19</v>
      </c>
      <c r="H18" s="112" t="s">
        <v>541</v>
      </c>
      <c r="I18" s="112" t="s">
        <v>539</v>
      </c>
      <c r="J18" s="112" t="s">
        <v>264</v>
      </c>
      <c r="K18" s="128">
        <v>8.5</v>
      </c>
      <c r="L18" s="128">
        <v>7.2</v>
      </c>
      <c r="M18" s="128">
        <v>-2.5</v>
      </c>
      <c r="N18" s="123">
        <v>1.2</v>
      </c>
      <c r="O18" s="124">
        <v>1.99999999999889</v>
      </c>
      <c r="P18" s="123">
        <v>-8</v>
      </c>
      <c r="Q18" s="125">
        <v>7.3</v>
      </c>
      <c r="R18" s="126">
        <v>5.9</v>
      </c>
      <c r="S18" s="122">
        <v>-0.4</v>
      </c>
      <c r="T18" s="125">
        <v>1.2</v>
      </c>
      <c r="U18" s="125">
        <v>3.2</v>
      </c>
      <c r="V18" s="125">
        <v>0.3</v>
      </c>
      <c r="W18" s="125">
        <v>-3.9</v>
      </c>
      <c r="X18" s="125">
        <v>-0.1</v>
      </c>
      <c r="Y18" s="125">
        <v>0.7</v>
      </c>
      <c r="Z18" s="125">
        <v>3.6</v>
      </c>
      <c r="AA18" s="125">
        <v>-3.2</v>
      </c>
      <c r="AB18" s="139" t="s">
        <v>1069</v>
      </c>
      <c r="AC18" s="121">
        <v>-1.7</v>
      </c>
      <c r="AD18" s="135" t="s">
        <v>1069</v>
      </c>
      <c r="AE18" s="122">
        <v>-0.1</v>
      </c>
      <c r="AF18" s="125">
        <v>0.70000000000014495</v>
      </c>
      <c r="AG18" s="139" t="s">
        <v>1333</v>
      </c>
      <c r="AH18" s="121">
        <v>2.1000000000004349</v>
      </c>
      <c r="AI18" s="125" t="s">
        <v>247</v>
      </c>
      <c r="AJ18" s="624" t="s">
        <v>247</v>
      </c>
      <c r="AK18" s="122" t="s">
        <v>247</v>
      </c>
      <c r="AL18" s="554" t="s">
        <v>1340</v>
      </c>
      <c r="AM18" s="558">
        <v>11.536899999999999</v>
      </c>
      <c r="AN18" s="392"/>
    </row>
    <row r="19" spans="1:40" ht="15.95" customHeight="1">
      <c r="A19" s="119">
        <v>204</v>
      </c>
      <c r="B19" s="107" t="s">
        <v>419</v>
      </c>
      <c r="C19" s="114" t="s">
        <v>38</v>
      </c>
      <c r="D19" s="110" t="s">
        <v>696</v>
      </c>
      <c r="E19" s="109" t="s">
        <v>46</v>
      </c>
      <c r="F19" s="111" t="s">
        <v>9</v>
      </c>
      <c r="G19" s="112" t="s">
        <v>19</v>
      </c>
      <c r="H19" s="112" t="s">
        <v>541</v>
      </c>
      <c r="I19" s="112" t="s">
        <v>539</v>
      </c>
      <c r="J19" s="112" t="s">
        <v>264</v>
      </c>
      <c r="K19" s="128">
        <v>1.1000000000000001</v>
      </c>
      <c r="L19" s="128">
        <v>11.7</v>
      </c>
      <c r="M19" s="128">
        <v>4.2</v>
      </c>
      <c r="N19" s="123">
        <v>-3</v>
      </c>
      <c r="O19" s="138" t="s">
        <v>1134</v>
      </c>
      <c r="P19" s="122">
        <v>-1.7</v>
      </c>
      <c r="Q19" s="125">
        <v>9.4</v>
      </c>
      <c r="R19" s="139" t="s">
        <v>636</v>
      </c>
      <c r="S19" s="122">
        <v>4.9000000000000004</v>
      </c>
      <c r="T19" s="125">
        <v>0.8</v>
      </c>
      <c r="U19" s="125">
        <v>3.3</v>
      </c>
      <c r="V19" s="125">
        <v>2.1</v>
      </c>
      <c r="W19" s="125">
        <v>-3.3</v>
      </c>
      <c r="X19" s="125">
        <v>-2.6</v>
      </c>
      <c r="Y19" s="139" t="s">
        <v>1069</v>
      </c>
      <c r="Z19" s="122">
        <v>7</v>
      </c>
      <c r="AA19" s="125">
        <v>-4.5999999999999996</v>
      </c>
      <c r="AB19" s="126">
        <v>0</v>
      </c>
      <c r="AC19" s="126">
        <v>-1.7</v>
      </c>
      <c r="AD19" s="126">
        <v>0.8</v>
      </c>
      <c r="AE19" s="122">
        <v>-0.1</v>
      </c>
      <c r="AF19" s="125">
        <v>1.0999999999992127</v>
      </c>
      <c r="AG19" s="126">
        <v>2.3999999999997357</v>
      </c>
      <c r="AH19" s="121">
        <v>1.1000000000009891</v>
      </c>
      <c r="AI19" s="121">
        <v>0</v>
      </c>
      <c r="AJ19" s="626" t="s">
        <v>247</v>
      </c>
      <c r="AK19" s="122" t="s">
        <v>247</v>
      </c>
      <c r="AL19" s="554" t="s">
        <v>1352</v>
      </c>
      <c r="AM19" s="558">
        <v>8.7067999999999994</v>
      </c>
      <c r="AN19" s="392" t="s">
        <v>1135</v>
      </c>
    </row>
    <row r="20" spans="1:40" ht="15.95" customHeight="1">
      <c r="A20" s="214">
        <v>205</v>
      </c>
      <c r="B20" s="215" t="s">
        <v>420</v>
      </c>
      <c r="C20" s="216" t="s">
        <v>38</v>
      </c>
      <c r="D20" s="217" t="s">
        <v>48</v>
      </c>
      <c r="E20" s="218" t="s">
        <v>49</v>
      </c>
      <c r="F20" s="219" t="s">
        <v>9</v>
      </c>
      <c r="G20" s="220" t="s">
        <v>19</v>
      </c>
      <c r="H20" s="220" t="s">
        <v>541</v>
      </c>
      <c r="I20" s="220" t="s">
        <v>539</v>
      </c>
      <c r="J20" s="220" t="s">
        <v>265</v>
      </c>
      <c r="K20" s="223">
        <v>0.6</v>
      </c>
      <c r="L20" s="223">
        <v>3.2</v>
      </c>
      <c r="M20" s="223">
        <v>2.2999999999999998</v>
      </c>
      <c r="N20" s="224">
        <v>0.7</v>
      </c>
      <c r="O20" s="222">
        <v>9.99999999997669E-2</v>
      </c>
      <c r="P20" s="224">
        <v>-1</v>
      </c>
      <c r="Q20" s="225">
        <v>5.7</v>
      </c>
      <c r="R20" s="227" t="s">
        <v>636</v>
      </c>
      <c r="S20" s="228">
        <v>9.4</v>
      </c>
      <c r="T20" s="225">
        <v>6.5</v>
      </c>
      <c r="U20" s="225">
        <v>2.8</v>
      </c>
      <c r="V20" s="225">
        <v>6.5</v>
      </c>
      <c r="W20" s="225">
        <v>0.7</v>
      </c>
      <c r="X20" s="225">
        <v>-1.6</v>
      </c>
      <c r="Y20" s="227" t="s">
        <v>1068</v>
      </c>
      <c r="Z20" s="228"/>
      <c r="AA20" s="228">
        <v>0.9</v>
      </c>
      <c r="AB20" s="227" t="s">
        <v>1069</v>
      </c>
      <c r="AC20" s="228">
        <v>-2.1</v>
      </c>
      <c r="AD20" s="226">
        <v>-0.2</v>
      </c>
      <c r="AE20" s="227" t="s">
        <v>1069</v>
      </c>
      <c r="AF20" s="228">
        <v>2.3999999999997357</v>
      </c>
      <c r="AG20" s="227" t="s">
        <v>1333</v>
      </c>
      <c r="AH20" s="229">
        <v>1.200000000000756</v>
      </c>
      <c r="AI20" s="225" t="s">
        <v>247</v>
      </c>
      <c r="AJ20" s="625" t="s">
        <v>247</v>
      </c>
      <c r="AK20" s="228" t="s">
        <v>247</v>
      </c>
      <c r="AL20" s="556" t="s">
        <v>1340</v>
      </c>
      <c r="AM20" s="559">
        <v>9.6671999999999993</v>
      </c>
      <c r="AN20" s="393" t="s">
        <v>1374</v>
      </c>
    </row>
    <row r="21" spans="1:40" ht="15.95" customHeight="1">
      <c r="A21" s="119">
        <v>206</v>
      </c>
      <c r="B21" s="107" t="s">
        <v>422</v>
      </c>
      <c r="C21" s="114" t="s">
        <v>38</v>
      </c>
      <c r="D21" s="110" t="s">
        <v>578</v>
      </c>
      <c r="E21" s="109" t="s">
        <v>51</v>
      </c>
      <c r="F21" s="111" t="s">
        <v>9</v>
      </c>
      <c r="G21" s="112" t="s">
        <v>19</v>
      </c>
      <c r="H21" s="112" t="s">
        <v>541</v>
      </c>
      <c r="I21" s="112" t="s">
        <v>539</v>
      </c>
      <c r="J21" s="112" t="s">
        <v>265</v>
      </c>
      <c r="K21" s="128">
        <v>4.2</v>
      </c>
      <c r="L21" s="128">
        <v>2.4</v>
      </c>
      <c r="M21" s="128">
        <v>0.4</v>
      </c>
      <c r="N21" s="123">
        <v>0.2</v>
      </c>
      <c r="O21" s="124">
        <v>-0.19999999999953399</v>
      </c>
      <c r="P21" s="123">
        <v>-2.4</v>
      </c>
      <c r="Q21" s="125">
        <v>4.5</v>
      </c>
      <c r="R21" s="139" t="s">
        <v>636</v>
      </c>
      <c r="S21" s="122">
        <v>4</v>
      </c>
      <c r="T21" s="125">
        <v>0.2</v>
      </c>
      <c r="U21" s="125">
        <v>1.4</v>
      </c>
      <c r="V21" s="125">
        <v>1.8</v>
      </c>
      <c r="W21" s="125">
        <v>-3.4</v>
      </c>
      <c r="X21" s="125">
        <v>-2.2000000000000002</v>
      </c>
      <c r="Y21" s="139" t="s">
        <v>1068</v>
      </c>
      <c r="Z21" s="122"/>
      <c r="AA21" s="122">
        <v>-3.2</v>
      </c>
      <c r="AB21" s="139" t="s">
        <v>1069</v>
      </c>
      <c r="AC21" s="122">
        <v>-2.8</v>
      </c>
      <c r="AD21" s="126">
        <v>0</v>
      </c>
      <c r="AE21" s="139" t="s">
        <v>1069</v>
      </c>
      <c r="AF21" s="122">
        <v>1.5000000000000568</v>
      </c>
      <c r="AG21" s="139" t="s">
        <v>1333</v>
      </c>
      <c r="AH21" s="121">
        <v>-2.5999999999992696</v>
      </c>
      <c r="AI21" s="121">
        <v>1.0999999999992127</v>
      </c>
      <c r="AJ21" s="626" t="s">
        <v>247</v>
      </c>
      <c r="AK21" s="122" t="s">
        <v>247</v>
      </c>
      <c r="AL21" s="554" t="s">
        <v>1352</v>
      </c>
      <c r="AM21" s="558">
        <v>8.7611000000000008</v>
      </c>
      <c r="AN21" s="392"/>
    </row>
    <row r="22" spans="1:40" ht="15.95" customHeight="1">
      <c r="A22" s="119">
        <v>207</v>
      </c>
      <c r="B22" s="107" t="s">
        <v>367</v>
      </c>
      <c r="C22" s="114" t="s">
        <v>38</v>
      </c>
      <c r="D22" s="110" t="s">
        <v>665</v>
      </c>
      <c r="E22" s="109" t="s">
        <v>53</v>
      </c>
      <c r="F22" s="111" t="s">
        <v>9</v>
      </c>
      <c r="G22" s="112" t="s">
        <v>19</v>
      </c>
      <c r="H22" s="112" t="s">
        <v>541</v>
      </c>
      <c r="I22" s="112" t="s">
        <v>54</v>
      </c>
      <c r="J22" s="112" t="s">
        <v>265</v>
      </c>
      <c r="K22" s="128">
        <v>13.8</v>
      </c>
      <c r="L22" s="128">
        <v>-10.3</v>
      </c>
      <c r="M22" s="128">
        <v>7.7</v>
      </c>
      <c r="N22" s="123">
        <v>-2.2000000000000002</v>
      </c>
      <c r="O22" s="124">
        <v>3.8999999999997899</v>
      </c>
      <c r="P22" s="123">
        <v>-2.8</v>
      </c>
      <c r="Q22" s="125">
        <v>2.5</v>
      </c>
      <c r="R22" s="126">
        <v>8.8000000000000007</v>
      </c>
      <c r="S22" s="122">
        <v>-0.1</v>
      </c>
      <c r="T22" s="125">
        <v>3.9</v>
      </c>
      <c r="U22" s="125">
        <v>0.1</v>
      </c>
      <c r="V22" s="139" t="s">
        <v>652</v>
      </c>
      <c r="W22" s="122"/>
      <c r="X22" s="122"/>
      <c r="Y22" s="122">
        <v>-1.8</v>
      </c>
      <c r="Z22" s="125">
        <v>7.5</v>
      </c>
      <c r="AA22" s="139" t="s">
        <v>1069</v>
      </c>
      <c r="AB22" s="121">
        <v>-6.7</v>
      </c>
      <c r="AC22" s="139" t="s">
        <v>1069</v>
      </c>
      <c r="AD22" s="121">
        <v>-2.6</v>
      </c>
      <c r="AE22" s="122">
        <v>2</v>
      </c>
      <c r="AF22" s="139" t="s">
        <v>1069</v>
      </c>
      <c r="AG22" s="121">
        <v>3.4000000000000696</v>
      </c>
      <c r="AH22" s="139" t="s">
        <v>1333</v>
      </c>
      <c r="AI22" s="121">
        <v>5.9000000000004604</v>
      </c>
      <c r="AJ22" s="125">
        <v>-1.4000000000002899</v>
      </c>
      <c r="AK22" s="141" t="s">
        <v>247</v>
      </c>
      <c r="AL22" s="554" t="s">
        <v>1380</v>
      </c>
      <c r="AM22" s="558">
        <v>4.8574000000000002</v>
      </c>
      <c r="AN22" s="392"/>
    </row>
    <row r="23" spans="1:40" ht="15.95" customHeight="1">
      <c r="A23" s="119">
        <v>208</v>
      </c>
      <c r="B23" s="107" t="s">
        <v>588</v>
      </c>
      <c r="C23" s="114" t="s">
        <v>38</v>
      </c>
      <c r="D23" s="110" t="s">
        <v>678</v>
      </c>
      <c r="E23" s="109" t="s">
        <v>1404</v>
      </c>
      <c r="F23" s="111" t="s">
        <v>9</v>
      </c>
      <c r="G23" s="112" t="s">
        <v>10</v>
      </c>
      <c r="H23" s="112" t="s">
        <v>541</v>
      </c>
      <c r="I23" s="112" t="s">
        <v>54</v>
      </c>
      <c r="J23" s="112" t="s">
        <v>265</v>
      </c>
      <c r="K23" s="128">
        <v>8.8000000000000007</v>
      </c>
      <c r="L23" s="128">
        <v>1.7</v>
      </c>
      <c r="M23" s="128">
        <v>16.399999999999999</v>
      </c>
      <c r="N23" s="123">
        <v>-2.2999999999999998</v>
      </c>
      <c r="O23" s="136" t="s">
        <v>637</v>
      </c>
      <c r="P23" s="123">
        <v>7.6</v>
      </c>
      <c r="Q23" s="125">
        <v>8.6999999999999993</v>
      </c>
      <c r="R23" s="139" t="s">
        <v>636</v>
      </c>
      <c r="S23" s="122">
        <v>13.9</v>
      </c>
      <c r="T23" s="139" t="s">
        <v>1072</v>
      </c>
      <c r="U23" s="122"/>
      <c r="V23" s="122"/>
      <c r="W23" s="122"/>
      <c r="X23" s="122"/>
      <c r="Y23" s="122">
        <v>12.8</v>
      </c>
      <c r="Z23" s="139" t="s">
        <v>1070</v>
      </c>
      <c r="AA23" s="122"/>
      <c r="AB23" s="122"/>
      <c r="AC23" s="122"/>
      <c r="AD23" s="121">
        <v>-4.8</v>
      </c>
      <c r="AE23" s="135" t="s">
        <v>1353</v>
      </c>
      <c r="AF23" s="122" t="s">
        <v>247</v>
      </c>
      <c r="AG23" s="122" t="s">
        <v>247</v>
      </c>
      <c r="AH23" s="122" t="s">
        <v>247</v>
      </c>
      <c r="AI23" s="121">
        <v>-1.1000000000001009</v>
      </c>
      <c r="AJ23" s="626" t="s">
        <v>247</v>
      </c>
      <c r="AK23" s="122" t="s">
        <v>247</v>
      </c>
      <c r="AL23" s="554" t="s">
        <v>1352</v>
      </c>
      <c r="AM23" s="555">
        <v>2.7118000000000002</v>
      </c>
      <c r="AN23" s="392"/>
    </row>
    <row r="24" spans="1:40" ht="15.95" customHeight="1">
      <c r="A24" s="119">
        <v>209</v>
      </c>
      <c r="B24" s="107" t="s">
        <v>361</v>
      </c>
      <c r="C24" s="114" t="s">
        <v>38</v>
      </c>
      <c r="D24" s="110" t="s">
        <v>566</v>
      </c>
      <c r="E24" s="109" t="s">
        <v>1405</v>
      </c>
      <c r="F24" s="111" t="s">
        <v>9</v>
      </c>
      <c r="G24" s="112" t="s">
        <v>10</v>
      </c>
      <c r="H24" s="112" t="s">
        <v>541</v>
      </c>
      <c r="I24" s="112" t="s">
        <v>54</v>
      </c>
      <c r="J24" s="112" t="s">
        <v>265</v>
      </c>
      <c r="K24" s="128">
        <v>21.5</v>
      </c>
      <c r="L24" s="128">
        <v>3.5</v>
      </c>
      <c r="M24" s="137" t="s">
        <v>300</v>
      </c>
      <c r="N24" s="123">
        <v>0.5</v>
      </c>
      <c r="O24" s="136" t="s">
        <v>637</v>
      </c>
      <c r="P24" s="127">
        <v>21.3</v>
      </c>
      <c r="Q24" s="123">
        <v>19.7</v>
      </c>
      <c r="R24" s="139" t="s">
        <v>636</v>
      </c>
      <c r="S24" s="122">
        <v>26.2</v>
      </c>
      <c r="T24" s="139" t="s">
        <v>1072</v>
      </c>
      <c r="U24" s="122"/>
      <c r="V24" s="122"/>
      <c r="W24" s="122"/>
      <c r="X24" s="122"/>
      <c r="Y24" s="121">
        <v>54.1</v>
      </c>
      <c r="Z24" s="139" t="s">
        <v>1070</v>
      </c>
      <c r="AA24" s="122"/>
      <c r="AB24" s="122"/>
      <c r="AC24" s="122"/>
      <c r="AD24" s="121">
        <v>5.3</v>
      </c>
      <c r="AE24" s="135" t="s">
        <v>1353</v>
      </c>
      <c r="AF24" s="122" t="s">
        <v>247</v>
      </c>
      <c r="AG24" s="122" t="s">
        <v>247</v>
      </c>
      <c r="AH24" s="122" t="s">
        <v>247</v>
      </c>
      <c r="AI24" s="121">
        <v>2.1999999999997577</v>
      </c>
      <c r="AJ24" s="125" t="s">
        <v>1504</v>
      </c>
      <c r="AK24" s="122">
        <v>2.4999999999999467</v>
      </c>
      <c r="AL24" s="554" t="s">
        <v>1500</v>
      </c>
      <c r="AM24" s="555">
        <v>3.0386000000000002</v>
      </c>
      <c r="AN24" s="392"/>
    </row>
    <row r="25" spans="1:40" ht="15.95" customHeight="1">
      <c r="A25" s="119">
        <v>210</v>
      </c>
      <c r="B25" s="107" t="s">
        <v>373</v>
      </c>
      <c r="C25" s="114" t="s">
        <v>38</v>
      </c>
      <c r="D25" s="110" t="s">
        <v>697</v>
      </c>
      <c r="E25" s="109" t="s">
        <v>57</v>
      </c>
      <c r="F25" s="111" t="s">
        <v>9</v>
      </c>
      <c r="G25" s="112" t="s">
        <v>19</v>
      </c>
      <c r="H25" s="112" t="s">
        <v>541</v>
      </c>
      <c r="I25" s="112" t="s">
        <v>539</v>
      </c>
      <c r="J25" s="112" t="s">
        <v>265</v>
      </c>
      <c r="K25" s="128">
        <v>9</v>
      </c>
      <c r="L25" s="128">
        <v>-3</v>
      </c>
      <c r="M25" s="128">
        <v>3.7</v>
      </c>
      <c r="N25" s="123">
        <v>1</v>
      </c>
      <c r="O25" s="124">
        <v>3.4999999999998401</v>
      </c>
      <c r="P25" s="124">
        <v>-3.7</v>
      </c>
      <c r="Q25" s="123">
        <v>5.7</v>
      </c>
      <c r="R25" s="126">
        <v>5.8</v>
      </c>
      <c r="S25" s="122">
        <v>-0.7</v>
      </c>
      <c r="T25" s="125">
        <v>2</v>
      </c>
      <c r="U25" s="125">
        <v>0.1</v>
      </c>
      <c r="V25" s="139" t="s">
        <v>652</v>
      </c>
      <c r="W25" s="122"/>
      <c r="X25" s="122"/>
      <c r="Y25" s="122">
        <v>-1</v>
      </c>
      <c r="Z25" s="139" t="s">
        <v>1069</v>
      </c>
      <c r="AA25" s="122">
        <v>1.5</v>
      </c>
      <c r="AB25" s="139" t="s">
        <v>1068</v>
      </c>
      <c r="AC25" s="122"/>
      <c r="AD25" s="121">
        <v>-4.5999999999999996</v>
      </c>
      <c r="AE25" s="139" t="s">
        <v>1069</v>
      </c>
      <c r="AF25" s="122">
        <v>3.3000000000003027</v>
      </c>
      <c r="AG25" s="139" t="s">
        <v>1334</v>
      </c>
      <c r="AH25" s="122" t="s">
        <v>247</v>
      </c>
      <c r="AI25" s="121">
        <v>2.0999999999995467</v>
      </c>
      <c r="AJ25" s="626" t="s">
        <v>247</v>
      </c>
      <c r="AK25" s="122" t="s">
        <v>247</v>
      </c>
      <c r="AL25" s="554" t="s">
        <v>1352</v>
      </c>
      <c r="AM25" s="558">
        <v>6.6867000000000001</v>
      </c>
      <c r="AN25" s="392"/>
    </row>
    <row r="26" spans="1:40" s="231" customFormat="1" ht="15.95" customHeight="1">
      <c r="A26" s="214">
        <v>211</v>
      </c>
      <c r="B26" s="215" t="s">
        <v>371</v>
      </c>
      <c r="C26" s="216" t="s">
        <v>38</v>
      </c>
      <c r="D26" s="217" t="s">
        <v>698</v>
      </c>
      <c r="E26" s="218" t="s">
        <v>59</v>
      </c>
      <c r="F26" s="219" t="s">
        <v>9</v>
      </c>
      <c r="G26" s="220" t="s">
        <v>19</v>
      </c>
      <c r="H26" s="220" t="s">
        <v>541</v>
      </c>
      <c r="I26" s="220" t="s">
        <v>539</v>
      </c>
      <c r="J26" s="220" t="s">
        <v>265</v>
      </c>
      <c r="K26" s="223">
        <v>9.8000000000000007</v>
      </c>
      <c r="L26" s="223">
        <v>-5</v>
      </c>
      <c r="M26" s="223">
        <v>3.2</v>
      </c>
      <c r="N26" s="224">
        <v>-0.2</v>
      </c>
      <c r="O26" s="222">
        <v>3.4999999999998401</v>
      </c>
      <c r="P26" s="222">
        <v>-3.8</v>
      </c>
      <c r="Q26" s="224">
        <v>4.4000000000000004</v>
      </c>
      <c r="R26" s="226">
        <v>7.2</v>
      </c>
      <c r="S26" s="228">
        <v>-0.2</v>
      </c>
      <c r="T26" s="225">
        <v>1.9</v>
      </c>
      <c r="U26" s="225">
        <v>-0.5</v>
      </c>
      <c r="V26" s="227" t="s">
        <v>652</v>
      </c>
      <c r="W26" s="228"/>
      <c r="X26" s="228"/>
      <c r="Y26" s="228">
        <v>-3.7</v>
      </c>
      <c r="Z26" s="225"/>
      <c r="AA26" s="228"/>
      <c r="AB26" s="228"/>
      <c r="AC26" s="228"/>
      <c r="AD26" s="232"/>
      <c r="AE26" s="228"/>
      <c r="AF26" s="228"/>
      <c r="AG26" s="228"/>
      <c r="AH26" s="228"/>
      <c r="AI26" s="228"/>
      <c r="AJ26" s="625"/>
      <c r="AK26" s="228" t="s">
        <v>247</v>
      </c>
      <c r="AL26" s="556" t="s">
        <v>550</v>
      </c>
      <c r="AM26" s="559">
        <v>5.6390000000000002</v>
      </c>
      <c r="AN26" s="393" t="s">
        <v>533</v>
      </c>
    </row>
    <row r="27" spans="1:40" ht="15.95" customHeight="1">
      <c r="A27" s="119">
        <v>212</v>
      </c>
      <c r="B27" s="107" t="s">
        <v>369</v>
      </c>
      <c r="C27" s="114" t="s">
        <v>38</v>
      </c>
      <c r="D27" s="110" t="s">
        <v>666</v>
      </c>
      <c r="E27" s="109" t="s">
        <v>61</v>
      </c>
      <c r="F27" s="111" t="s">
        <v>9</v>
      </c>
      <c r="G27" s="112" t="s">
        <v>19</v>
      </c>
      <c r="H27" s="112" t="s">
        <v>541</v>
      </c>
      <c r="I27" s="112" t="s">
        <v>539</v>
      </c>
      <c r="J27" s="112" t="s">
        <v>265</v>
      </c>
      <c r="K27" s="128">
        <v>11.6</v>
      </c>
      <c r="L27" s="128">
        <v>-4.5</v>
      </c>
      <c r="M27" s="128">
        <v>4.0999999999999996</v>
      </c>
      <c r="N27" s="123">
        <v>1.7</v>
      </c>
      <c r="O27" s="124">
        <v>4.5999999999999401</v>
      </c>
      <c r="P27" s="124">
        <v>-1.2</v>
      </c>
      <c r="Q27" s="123">
        <v>5.2</v>
      </c>
      <c r="R27" s="126">
        <v>8.1999999999999993</v>
      </c>
      <c r="S27" s="122">
        <v>2.2999999999999998</v>
      </c>
      <c r="T27" s="125">
        <v>6.6</v>
      </c>
      <c r="U27" s="125">
        <v>1.3</v>
      </c>
      <c r="V27" s="139" t="s">
        <v>652</v>
      </c>
      <c r="W27" s="122"/>
      <c r="X27" s="122"/>
      <c r="Y27" s="122">
        <v>2.7</v>
      </c>
      <c r="Z27" s="139" t="s">
        <v>525</v>
      </c>
      <c r="AA27" s="122"/>
      <c r="AB27" s="121">
        <v>3.2</v>
      </c>
      <c r="AC27" s="139" t="s">
        <v>1069</v>
      </c>
      <c r="AD27" s="121">
        <v>-1.9</v>
      </c>
      <c r="AE27" s="135" t="s">
        <v>1068</v>
      </c>
      <c r="AF27" s="122" t="s">
        <v>247</v>
      </c>
      <c r="AG27" s="121">
        <v>2.8000000000005798</v>
      </c>
      <c r="AH27" s="139" t="s">
        <v>1333</v>
      </c>
      <c r="AI27" s="121">
        <v>3.0000000000001137</v>
      </c>
      <c r="AJ27" s="126">
        <v>1.5999999999998238</v>
      </c>
      <c r="AK27" s="122" t="s">
        <v>247</v>
      </c>
      <c r="AL27" s="554" t="s">
        <v>1380</v>
      </c>
      <c r="AM27" s="558">
        <v>5.4462999999999999</v>
      </c>
      <c r="AN27" s="392"/>
    </row>
    <row r="28" spans="1:40" ht="15.95" customHeight="1">
      <c r="A28" s="119">
        <v>213</v>
      </c>
      <c r="B28" s="107" t="s">
        <v>370</v>
      </c>
      <c r="C28" s="114" t="s">
        <v>38</v>
      </c>
      <c r="D28" s="110" t="s">
        <v>62</v>
      </c>
      <c r="E28" s="109" t="s">
        <v>63</v>
      </c>
      <c r="F28" s="111" t="s">
        <v>9</v>
      </c>
      <c r="G28" s="112" t="s">
        <v>19</v>
      </c>
      <c r="H28" s="112" t="s">
        <v>541</v>
      </c>
      <c r="I28" s="112" t="s">
        <v>539</v>
      </c>
      <c r="J28" s="112" t="s">
        <v>265</v>
      </c>
      <c r="K28" s="128">
        <v>10.199999999999999</v>
      </c>
      <c r="L28" s="128">
        <v>-3.4</v>
      </c>
      <c r="M28" s="128">
        <v>3.7</v>
      </c>
      <c r="N28" s="123">
        <v>0.5</v>
      </c>
      <c r="O28" s="136" t="s">
        <v>637</v>
      </c>
      <c r="P28" s="123">
        <v>-1</v>
      </c>
      <c r="Q28" s="139" t="s">
        <v>1068</v>
      </c>
      <c r="R28" s="122"/>
      <c r="S28" s="122">
        <v>12.5</v>
      </c>
      <c r="T28" s="139" t="s">
        <v>1072</v>
      </c>
      <c r="U28" s="122"/>
      <c r="V28" s="122"/>
      <c r="W28" s="122"/>
      <c r="X28" s="122"/>
      <c r="Y28" s="122">
        <v>3.1</v>
      </c>
      <c r="Z28" s="139" t="s">
        <v>525</v>
      </c>
      <c r="AA28" s="122"/>
      <c r="AB28" s="121">
        <v>-1.6</v>
      </c>
      <c r="AC28" s="135" t="s">
        <v>1070</v>
      </c>
      <c r="AD28" s="122"/>
      <c r="AE28" s="122"/>
      <c r="AF28" s="122" t="s">
        <v>247</v>
      </c>
      <c r="AG28" s="121">
        <v>57.199999999999918</v>
      </c>
      <c r="AH28" s="135" t="s">
        <v>1381</v>
      </c>
      <c r="AI28" s="122" t="s">
        <v>247</v>
      </c>
      <c r="AJ28" s="121">
        <v>2.2999999999999687</v>
      </c>
      <c r="AK28" s="122" t="s">
        <v>247</v>
      </c>
      <c r="AL28" s="554" t="s">
        <v>1380</v>
      </c>
      <c r="AM28" s="555">
        <v>4.7294999999999998</v>
      </c>
      <c r="AN28" s="392"/>
    </row>
    <row r="29" spans="1:40" ht="15.95" customHeight="1">
      <c r="A29" s="119">
        <v>214</v>
      </c>
      <c r="B29" s="107" t="s">
        <v>368</v>
      </c>
      <c r="C29" s="114" t="s">
        <v>38</v>
      </c>
      <c r="D29" s="110" t="s">
        <v>680</v>
      </c>
      <c r="E29" s="109" t="s">
        <v>1406</v>
      </c>
      <c r="F29" s="111" t="s">
        <v>9</v>
      </c>
      <c r="G29" s="112" t="s">
        <v>255</v>
      </c>
      <c r="H29" s="112" t="s">
        <v>542</v>
      </c>
      <c r="I29" s="112" t="s">
        <v>539</v>
      </c>
      <c r="J29" s="108" t="s">
        <v>265</v>
      </c>
      <c r="K29" s="138" t="s">
        <v>260</v>
      </c>
      <c r="L29" s="122"/>
      <c r="M29" s="122"/>
      <c r="N29" s="122"/>
      <c r="O29" s="122"/>
      <c r="P29" s="138" t="s">
        <v>256</v>
      </c>
      <c r="Q29" s="122">
        <v>4.5999999999999996</v>
      </c>
      <c r="R29" s="139" t="s">
        <v>636</v>
      </c>
      <c r="S29" s="122">
        <v>9.1999999999999993</v>
      </c>
      <c r="T29" s="139" t="s">
        <v>1072</v>
      </c>
      <c r="U29" s="122"/>
      <c r="V29" s="122"/>
      <c r="W29" s="122"/>
      <c r="X29" s="122"/>
      <c r="Y29" s="122">
        <v>10.7</v>
      </c>
      <c r="Z29" s="125">
        <v>8.4</v>
      </c>
      <c r="AA29" s="139" t="s">
        <v>1071</v>
      </c>
      <c r="AB29" s="122"/>
      <c r="AC29" s="122"/>
      <c r="AD29" s="121">
        <v>-7.6</v>
      </c>
      <c r="AE29" s="122">
        <v>-1</v>
      </c>
      <c r="AF29" s="139" t="s">
        <v>1337</v>
      </c>
      <c r="AG29" s="122" t="s">
        <v>247</v>
      </c>
      <c r="AH29" s="122" t="s">
        <v>247</v>
      </c>
      <c r="AI29" s="121">
        <v>-9.3999999999994088</v>
      </c>
      <c r="AJ29" s="125" t="s">
        <v>1504</v>
      </c>
      <c r="AK29" s="122">
        <v>0.49999999999972289</v>
      </c>
      <c r="AL29" s="554" t="s">
        <v>1500</v>
      </c>
      <c r="AM29" s="555">
        <v>4.8742000000000001</v>
      </c>
      <c r="AN29" s="392"/>
    </row>
    <row r="30" spans="1:40" ht="15.95" customHeight="1">
      <c r="A30" s="119">
        <v>215</v>
      </c>
      <c r="B30" s="107" t="s">
        <v>400</v>
      </c>
      <c r="C30" s="114" t="s">
        <v>38</v>
      </c>
      <c r="D30" s="110" t="s">
        <v>653</v>
      </c>
      <c r="E30" s="109" t="s">
        <v>1407</v>
      </c>
      <c r="F30" s="111" t="s">
        <v>9</v>
      </c>
      <c r="G30" s="112" t="s">
        <v>19</v>
      </c>
      <c r="H30" s="112" t="s">
        <v>541</v>
      </c>
      <c r="I30" s="112" t="s">
        <v>54</v>
      </c>
      <c r="J30" s="112" t="s">
        <v>265</v>
      </c>
      <c r="K30" s="135" t="s">
        <v>525</v>
      </c>
      <c r="L30" s="122"/>
      <c r="M30" s="127">
        <v>11.8</v>
      </c>
      <c r="N30" s="135" t="s">
        <v>525</v>
      </c>
      <c r="O30" s="122"/>
      <c r="P30" s="122">
        <v>3.3</v>
      </c>
      <c r="Q30" s="122">
        <v>8.1</v>
      </c>
      <c r="R30" s="139" t="s">
        <v>636</v>
      </c>
      <c r="S30" s="122">
        <v>6.1</v>
      </c>
      <c r="T30" s="125">
        <v>1</v>
      </c>
      <c r="U30" s="139" t="s">
        <v>1070</v>
      </c>
      <c r="V30" s="122"/>
      <c r="W30" s="122"/>
      <c r="X30" s="122"/>
      <c r="Y30" s="122">
        <v>5.5</v>
      </c>
      <c r="Z30" s="125">
        <v>7.3</v>
      </c>
      <c r="AA30" s="139" t="s">
        <v>1069</v>
      </c>
      <c r="AB30" s="121">
        <v>-11</v>
      </c>
      <c r="AC30" s="135" t="s">
        <v>1068</v>
      </c>
      <c r="AD30" s="122"/>
      <c r="AE30" s="122">
        <v>-2.4</v>
      </c>
      <c r="AF30" s="139" t="s">
        <v>1069</v>
      </c>
      <c r="AG30" s="121">
        <v>0.70000000000014495</v>
      </c>
      <c r="AH30" s="135" t="s">
        <v>1273</v>
      </c>
      <c r="AI30" s="122" t="s">
        <v>247</v>
      </c>
      <c r="AJ30" s="121">
        <v>2.9999999999996696</v>
      </c>
      <c r="AK30" s="122" t="s">
        <v>247</v>
      </c>
      <c r="AL30" s="560" t="s">
        <v>1380</v>
      </c>
      <c r="AM30" s="558">
        <v>3.3919000000000001</v>
      </c>
      <c r="AN30" s="392"/>
    </row>
    <row r="31" spans="1:40" ht="15.95" customHeight="1">
      <c r="A31" s="119">
        <v>216</v>
      </c>
      <c r="B31" s="107" t="s">
        <v>397</v>
      </c>
      <c r="C31" s="114" t="s">
        <v>38</v>
      </c>
      <c r="D31" s="110" t="s">
        <v>699</v>
      </c>
      <c r="E31" s="109" t="s">
        <v>68</v>
      </c>
      <c r="F31" s="111" t="s">
        <v>9</v>
      </c>
      <c r="G31" s="112" t="s">
        <v>19</v>
      </c>
      <c r="H31" s="112" t="s">
        <v>541</v>
      </c>
      <c r="I31" s="112" t="s">
        <v>539</v>
      </c>
      <c r="J31" s="112" t="s">
        <v>265</v>
      </c>
      <c r="K31" s="128">
        <v>9.3000000000000007</v>
      </c>
      <c r="L31" s="128">
        <v>-1.2</v>
      </c>
      <c r="M31" s="128">
        <v>5.3</v>
      </c>
      <c r="N31" s="123">
        <v>1.1000000000000001</v>
      </c>
      <c r="O31" s="136" t="s">
        <v>637</v>
      </c>
      <c r="P31" s="122">
        <v>-1.1000000000000001</v>
      </c>
      <c r="Q31" s="139" t="s">
        <v>1068</v>
      </c>
      <c r="R31" s="122"/>
      <c r="S31" s="122">
        <v>15.1</v>
      </c>
      <c r="T31" s="139" t="s">
        <v>1072</v>
      </c>
      <c r="U31" s="122"/>
      <c r="V31" s="122"/>
      <c r="W31" s="122"/>
      <c r="X31" s="122"/>
      <c r="Y31" s="122">
        <v>3.5</v>
      </c>
      <c r="Z31" s="125">
        <v>7.7</v>
      </c>
      <c r="AA31" s="125"/>
      <c r="AB31" s="122"/>
      <c r="AC31" s="122"/>
      <c r="AD31" s="122"/>
      <c r="AE31" s="138" t="s">
        <v>530</v>
      </c>
      <c r="AF31" s="135" t="s">
        <v>1505</v>
      </c>
      <c r="AG31" s="122" t="s">
        <v>247</v>
      </c>
      <c r="AH31" s="122" t="s">
        <v>247</v>
      </c>
      <c r="AI31" s="122" t="s">
        <v>247</v>
      </c>
      <c r="AJ31" s="122" t="s">
        <v>247</v>
      </c>
      <c r="AK31" s="122">
        <v>9.800000000000253</v>
      </c>
      <c r="AL31" s="627" t="s">
        <v>1500</v>
      </c>
      <c r="AM31" s="340">
        <v>3.8940999999999999</v>
      </c>
      <c r="AN31" s="392" t="s">
        <v>1506</v>
      </c>
    </row>
    <row r="32" spans="1:40" s="231" customFormat="1" ht="15.95" customHeight="1">
      <c r="A32" s="214">
        <v>217</v>
      </c>
      <c r="B32" s="215" t="s">
        <v>398</v>
      </c>
      <c r="C32" s="216" t="s">
        <v>38</v>
      </c>
      <c r="D32" s="217" t="s">
        <v>1455</v>
      </c>
      <c r="E32" s="218" t="s">
        <v>299</v>
      </c>
      <c r="F32" s="219" t="s">
        <v>9</v>
      </c>
      <c r="G32" s="220" t="s">
        <v>10</v>
      </c>
      <c r="H32" s="220" t="s">
        <v>64</v>
      </c>
      <c r="I32" s="220" t="s">
        <v>54</v>
      </c>
      <c r="J32" s="220" t="s">
        <v>265</v>
      </c>
      <c r="K32" s="228" t="s">
        <v>247</v>
      </c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625"/>
      <c r="AK32" s="228" t="s">
        <v>247</v>
      </c>
      <c r="AL32" s="561" t="s">
        <v>544</v>
      </c>
      <c r="AM32" s="562" t="s">
        <v>544</v>
      </c>
      <c r="AN32" s="393" t="s">
        <v>20</v>
      </c>
    </row>
    <row r="33" spans="1:40" ht="15.95" customHeight="1">
      <c r="A33" s="119">
        <v>218</v>
      </c>
      <c r="B33" s="107" t="s">
        <v>396</v>
      </c>
      <c r="C33" s="114" t="s">
        <v>38</v>
      </c>
      <c r="D33" s="110" t="s">
        <v>1394</v>
      </c>
      <c r="E33" s="109" t="s">
        <v>69</v>
      </c>
      <c r="F33" s="111" t="s">
        <v>70</v>
      </c>
      <c r="G33" s="112" t="s">
        <v>19</v>
      </c>
      <c r="H33" s="112" t="s">
        <v>64</v>
      </c>
      <c r="I33" s="112" t="s">
        <v>539</v>
      </c>
      <c r="J33" s="112" t="s">
        <v>265</v>
      </c>
      <c r="K33" s="128">
        <v>14.9</v>
      </c>
      <c r="L33" s="128">
        <v>1.7</v>
      </c>
      <c r="M33" s="128">
        <v>10.6</v>
      </c>
      <c r="N33" s="123">
        <v>3.6</v>
      </c>
      <c r="O33" s="136" t="s">
        <v>637</v>
      </c>
      <c r="P33" s="122">
        <v>-226</v>
      </c>
      <c r="Q33" s="139" t="s">
        <v>1068</v>
      </c>
      <c r="R33" s="122"/>
      <c r="S33" s="122">
        <v>41.1</v>
      </c>
      <c r="T33" s="139" t="s">
        <v>1072</v>
      </c>
      <c r="U33" s="122"/>
      <c r="V33" s="122"/>
      <c r="W33" s="122"/>
      <c r="X33" s="122"/>
      <c r="Y33" s="122">
        <v>6.6</v>
      </c>
      <c r="Z33" s="125">
        <v>8.4</v>
      </c>
      <c r="AA33" s="139" t="s">
        <v>1070</v>
      </c>
      <c r="AB33" s="122"/>
      <c r="AC33" s="122"/>
      <c r="AD33" s="122"/>
      <c r="AE33" s="121">
        <v>-14.7</v>
      </c>
      <c r="AF33" s="135" t="s">
        <v>1505</v>
      </c>
      <c r="AG33" s="122" t="s">
        <v>247</v>
      </c>
      <c r="AH33" s="122" t="s">
        <v>247</v>
      </c>
      <c r="AI33" s="122" t="s">
        <v>247</v>
      </c>
      <c r="AJ33" s="624" t="s">
        <v>247</v>
      </c>
      <c r="AK33" s="122">
        <v>8.299999999999752</v>
      </c>
      <c r="AL33" s="554" t="s">
        <v>1500</v>
      </c>
      <c r="AM33" s="555">
        <v>2.9409000000000001</v>
      </c>
      <c r="AN33" s="392" t="s">
        <v>731</v>
      </c>
    </row>
    <row r="34" spans="1:40" ht="15.95" customHeight="1">
      <c r="A34" s="119">
        <v>219</v>
      </c>
      <c r="B34" s="107" t="s">
        <v>374</v>
      </c>
      <c r="C34" s="114" t="s">
        <v>38</v>
      </c>
      <c r="D34" s="110" t="s">
        <v>709</v>
      </c>
      <c r="E34" s="109" t="s">
        <v>1408</v>
      </c>
      <c r="F34" s="111" t="s">
        <v>12</v>
      </c>
      <c r="G34" s="112" t="s">
        <v>73</v>
      </c>
      <c r="H34" s="112" t="s">
        <v>541</v>
      </c>
      <c r="I34" s="112" t="s">
        <v>539</v>
      </c>
      <c r="J34" s="112" t="s">
        <v>265</v>
      </c>
      <c r="K34" s="128">
        <v>9.5</v>
      </c>
      <c r="L34" s="123">
        <v>0.4</v>
      </c>
      <c r="M34" s="123">
        <v>3.4</v>
      </c>
      <c r="N34" s="123">
        <v>1.4</v>
      </c>
      <c r="O34" s="124">
        <v>3.2000000000005402</v>
      </c>
      <c r="P34" s="123">
        <v>-4.0999999999999996</v>
      </c>
      <c r="Q34" s="125">
        <v>7</v>
      </c>
      <c r="R34" s="126">
        <v>6.6</v>
      </c>
      <c r="S34" s="122">
        <v>-1.9</v>
      </c>
      <c r="T34" s="125">
        <v>2.4</v>
      </c>
      <c r="U34" s="125">
        <v>1.7</v>
      </c>
      <c r="V34" s="139" t="s">
        <v>652</v>
      </c>
      <c r="W34" s="122"/>
      <c r="X34" s="122"/>
      <c r="Y34" s="122">
        <v>2.6</v>
      </c>
      <c r="Z34" s="125">
        <v>7.2</v>
      </c>
      <c r="AA34" s="139" t="s">
        <v>1069</v>
      </c>
      <c r="AB34" s="121">
        <v>-7.4</v>
      </c>
      <c r="AC34" s="135" t="s">
        <v>1068</v>
      </c>
      <c r="AD34" s="122"/>
      <c r="AE34" s="122">
        <v>-1.9</v>
      </c>
      <c r="AF34" s="139" t="s">
        <v>1069</v>
      </c>
      <c r="AG34" s="121">
        <v>1.5000000000000568</v>
      </c>
      <c r="AH34" s="135" t="s">
        <v>1381</v>
      </c>
      <c r="AI34" s="122" t="s">
        <v>247</v>
      </c>
      <c r="AJ34" s="122">
        <v>5.6000000000002714</v>
      </c>
      <c r="AK34" s="141" t="s">
        <v>247</v>
      </c>
      <c r="AL34" s="554" t="s">
        <v>1380</v>
      </c>
      <c r="AM34" s="558">
        <v>7.2664</v>
      </c>
      <c r="AN34" s="392"/>
    </row>
    <row r="35" spans="1:40" ht="15.95" customHeight="1">
      <c r="A35" s="119">
        <v>220</v>
      </c>
      <c r="B35" s="107" t="s">
        <v>399</v>
      </c>
      <c r="C35" s="114" t="s">
        <v>38</v>
      </c>
      <c r="D35" s="110" t="s">
        <v>1509</v>
      </c>
      <c r="E35" s="109" t="s">
        <v>1507</v>
      </c>
      <c r="F35" s="111" t="s">
        <v>12</v>
      </c>
      <c r="G35" s="112" t="s">
        <v>19</v>
      </c>
      <c r="H35" s="112" t="s">
        <v>541</v>
      </c>
      <c r="I35" s="112" t="s">
        <v>54</v>
      </c>
      <c r="J35" s="112" t="s">
        <v>265</v>
      </c>
      <c r="K35" s="136" t="s">
        <v>525</v>
      </c>
      <c r="L35" s="121"/>
      <c r="M35" s="121">
        <v>23.3</v>
      </c>
      <c r="N35" s="139" t="s">
        <v>525</v>
      </c>
      <c r="O35" s="122"/>
      <c r="P35" s="127">
        <v>17.3</v>
      </c>
      <c r="Q35" s="122">
        <v>12.5</v>
      </c>
      <c r="R35" s="139" t="s">
        <v>636</v>
      </c>
      <c r="S35" s="122">
        <v>20.100000000000001</v>
      </c>
      <c r="T35" s="125">
        <v>7.7</v>
      </c>
      <c r="U35" s="139" t="s">
        <v>1070</v>
      </c>
      <c r="V35" s="122"/>
      <c r="W35" s="122"/>
      <c r="X35" s="122"/>
      <c r="Y35" s="122">
        <v>16.7</v>
      </c>
      <c r="Z35" s="125">
        <v>13.2</v>
      </c>
      <c r="AA35" s="139" t="s">
        <v>1070</v>
      </c>
      <c r="AB35" s="122"/>
      <c r="AC35" s="122"/>
      <c r="AD35" s="122"/>
      <c r="AE35" s="122">
        <v>11.7</v>
      </c>
      <c r="AF35" s="139" t="s">
        <v>1505</v>
      </c>
      <c r="AG35" s="122" t="s">
        <v>247</v>
      </c>
      <c r="AH35" s="122" t="s">
        <v>247</v>
      </c>
      <c r="AI35" s="122" t="s">
        <v>247</v>
      </c>
      <c r="AJ35" s="624" t="s">
        <v>247</v>
      </c>
      <c r="AK35" s="122">
        <v>37.800000000000281</v>
      </c>
      <c r="AL35" s="560" t="s">
        <v>1500</v>
      </c>
      <c r="AM35" s="558">
        <v>2.0078999999999998</v>
      </c>
      <c r="AN35" s="392"/>
    </row>
    <row r="36" spans="1:40" ht="15.95" customHeight="1">
      <c r="A36" s="119">
        <v>221</v>
      </c>
      <c r="B36" s="107" t="s">
        <v>424</v>
      </c>
      <c r="C36" s="114" t="s">
        <v>38</v>
      </c>
      <c r="D36" s="110" t="s">
        <v>681</v>
      </c>
      <c r="E36" s="109" t="s">
        <v>1410</v>
      </c>
      <c r="F36" s="111" t="s">
        <v>12</v>
      </c>
      <c r="G36" s="112" t="s">
        <v>10</v>
      </c>
      <c r="H36" s="112" t="s">
        <v>541</v>
      </c>
      <c r="I36" s="112" t="s">
        <v>539</v>
      </c>
      <c r="J36" s="112" t="s">
        <v>265</v>
      </c>
      <c r="K36" s="136" t="s">
        <v>637</v>
      </c>
      <c r="L36" s="121">
        <v>7.9</v>
      </c>
      <c r="M36" s="121">
        <v>6.1</v>
      </c>
      <c r="N36" s="122">
        <v>5.0999999999999996</v>
      </c>
      <c r="O36" s="136" t="s">
        <v>637</v>
      </c>
      <c r="P36" s="122">
        <v>10.9</v>
      </c>
      <c r="Q36" s="125">
        <v>11.7</v>
      </c>
      <c r="R36" s="139" t="s">
        <v>525</v>
      </c>
      <c r="S36" s="122"/>
      <c r="T36" s="122">
        <v>14.899999999999901</v>
      </c>
      <c r="U36" s="139" t="s">
        <v>1072</v>
      </c>
      <c r="V36" s="122"/>
      <c r="W36" s="122"/>
      <c r="X36" s="122"/>
      <c r="Y36" s="122"/>
      <c r="Z36" s="122">
        <v>21.1</v>
      </c>
      <c r="AA36" s="139" t="s">
        <v>1070</v>
      </c>
      <c r="AB36" s="122"/>
      <c r="AC36" s="122"/>
      <c r="AD36" s="122"/>
      <c r="AE36" s="122">
        <v>0.2</v>
      </c>
      <c r="AF36" s="139" t="s">
        <v>1505</v>
      </c>
      <c r="AG36" s="122" t="s">
        <v>247</v>
      </c>
      <c r="AH36" s="122" t="s">
        <v>247</v>
      </c>
      <c r="AI36" s="122" t="s">
        <v>247</v>
      </c>
      <c r="AJ36" s="624" t="s">
        <v>247</v>
      </c>
      <c r="AK36" s="122">
        <v>15.899999999999359</v>
      </c>
      <c r="AL36" s="560" t="s">
        <v>1500</v>
      </c>
      <c r="AM36" s="558">
        <v>4.0772000000000004</v>
      </c>
      <c r="AN36" s="392"/>
    </row>
    <row r="37" spans="1:40" ht="15.95" customHeight="1">
      <c r="A37" s="119">
        <v>222</v>
      </c>
      <c r="B37" s="107" t="s">
        <v>425</v>
      </c>
      <c r="C37" s="114" t="s">
        <v>38</v>
      </c>
      <c r="D37" s="110" t="s">
        <v>567</v>
      </c>
      <c r="E37" s="109" t="s">
        <v>79</v>
      </c>
      <c r="F37" s="111" t="s">
        <v>9</v>
      </c>
      <c r="G37" s="112" t="s">
        <v>10</v>
      </c>
      <c r="H37" s="112" t="s">
        <v>541</v>
      </c>
      <c r="I37" s="112" t="s">
        <v>54</v>
      </c>
      <c r="J37" s="112" t="s">
        <v>265</v>
      </c>
      <c r="K37" s="136" t="s">
        <v>525</v>
      </c>
      <c r="L37" s="121"/>
      <c r="M37" s="121">
        <v>16</v>
      </c>
      <c r="N37" s="139" t="s">
        <v>525</v>
      </c>
      <c r="O37" s="122"/>
      <c r="P37" s="127">
        <v>9.1999999999999993</v>
      </c>
      <c r="Q37" s="122">
        <v>11.1</v>
      </c>
      <c r="R37" s="139" t="s">
        <v>525</v>
      </c>
      <c r="S37" s="122"/>
      <c r="T37" s="122">
        <v>11.8</v>
      </c>
      <c r="U37" s="139" t="s">
        <v>1072</v>
      </c>
      <c r="V37" s="122"/>
      <c r="W37" s="122"/>
      <c r="X37" s="122"/>
      <c r="Y37" s="122"/>
      <c r="Z37" s="122">
        <v>12.6</v>
      </c>
      <c r="AA37" s="139" t="s">
        <v>1070</v>
      </c>
      <c r="AB37" s="122"/>
      <c r="AC37" s="122"/>
      <c r="AD37" s="122"/>
      <c r="AE37" s="122">
        <v>-1.9</v>
      </c>
      <c r="AF37" s="139" t="s">
        <v>1505</v>
      </c>
      <c r="AG37" s="122" t="s">
        <v>247</v>
      </c>
      <c r="AH37" s="122" t="s">
        <v>247</v>
      </c>
      <c r="AI37" s="122" t="s">
        <v>247</v>
      </c>
      <c r="AJ37" s="624" t="s">
        <v>247</v>
      </c>
      <c r="AK37" s="122">
        <v>12.000000000000011</v>
      </c>
      <c r="AL37" s="560" t="s">
        <v>1500</v>
      </c>
      <c r="AM37" s="558">
        <v>2.2166000000000001</v>
      </c>
      <c r="AN37" s="392"/>
    </row>
    <row r="38" spans="1:40" ht="15.95" customHeight="1">
      <c r="A38" s="119">
        <v>223</v>
      </c>
      <c r="B38" s="107" t="s">
        <v>593</v>
      </c>
      <c r="C38" s="114" t="s">
        <v>38</v>
      </c>
      <c r="D38" s="110" t="s">
        <v>568</v>
      </c>
      <c r="E38" s="109" t="s">
        <v>81</v>
      </c>
      <c r="F38" s="111" t="s">
        <v>9</v>
      </c>
      <c r="G38" s="112" t="s">
        <v>10</v>
      </c>
      <c r="H38" s="112" t="s">
        <v>541</v>
      </c>
      <c r="I38" s="112" t="s">
        <v>539</v>
      </c>
      <c r="J38" s="112" t="s">
        <v>270</v>
      </c>
      <c r="K38" s="136" t="s">
        <v>525</v>
      </c>
      <c r="L38" s="121"/>
      <c r="M38" s="121">
        <v>8.9</v>
      </c>
      <c r="N38" s="139" t="s">
        <v>525</v>
      </c>
      <c r="O38" s="122"/>
      <c r="P38" s="127">
        <v>5.6</v>
      </c>
      <c r="Q38" s="122">
        <v>11.2</v>
      </c>
      <c r="R38" s="139" t="s">
        <v>525</v>
      </c>
      <c r="S38" s="122"/>
      <c r="T38" s="122">
        <v>10.5999999999999</v>
      </c>
      <c r="U38" s="139" t="s">
        <v>1072</v>
      </c>
      <c r="V38" s="122"/>
      <c r="W38" s="122"/>
      <c r="X38" s="122"/>
      <c r="Y38" s="122"/>
      <c r="Z38" s="122">
        <v>17.899999999999999</v>
      </c>
      <c r="AA38" s="139" t="s">
        <v>1070</v>
      </c>
      <c r="AB38" s="122"/>
      <c r="AC38" s="122"/>
      <c r="AD38" s="122"/>
      <c r="AE38" s="122">
        <v>-5.5</v>
      </c>
      <c r="AF38" s="139" t="s">
        <v>1505</v>
      </c>
      <c r="AG38" s="122" t="s">
        <v>247</v>
      </c>
      <c r="AH38" s="122" t="s">
        <v>247</v>
      </c>
      <c r="AI38" s="122" t="s">
        <v>247</v>
      </c>
      <c r="AJ38" s="624" t="s">
        <v>247</v>
      </c>
      <c r="AK38" s="122">
        <v>7.9000000000000181</v>
      </c>
      <c r="AL38" s="560" t="s">
        <v>1500</v>
      </c>
      <c r="AM38" s="558">
        <v>1.9367000000000001</v>
      </c>
      <c r="AN38" s="392"/>
    </row>
    <row r="39" spans="1:40" ht="15.95" customHeight="1">
      <c r="A39" s="119">
        <v>224</v>
      </c>
      <c r="B39" s="107" t="s">
        <v>426</v>
      </c>
      <c r="C39" s="114" t="s">
        <v>38</v>
      </c>
      <c r="D39" s="110" t="s">
        <v>715</v>
      </c>
      <c r="E39" s="109" t="s">
        <v>83</v>
      </c>
      <c r="F39" s="111" t="s">
        <v>9</v>
      </c>
      <c r="G39" s="112" t="s">
        <v>10</v>
      </c>
      <c r="H39" s="112" t="s">
        <v>541</v>
      </c>
      <c r="I39" s="112" t="s">
        <v>539</v>
      </c>
      <c r="J39" s="112" t="s">
        <v>270</v>
      </c>
      <c r="K39" s="136" t="s">
        <v>695</v>
      </c>
      <c r="L39" s="122"/>
      <c r="M39" s="122"/>
      <c r="N39" s="122"/>
      <c r="O39" s="122"/>
      <c r="P39" s="122"/>
      <c r="Q39" s="122">
        <v>33.9</v>
      </c>
      <c r="R39" s="139" t="s">
        <v>525</v>
      </c>
      <c r="S39" s="122"/>
      <c r="T39" s="122">
        <v>10.5</v>
      </c>
      <c r="U39" s="126">
        <v>0.5</v>
      </c>
      <c r="V39" s="139" t="s">
        <v>1070</v>
      </c>
      <c r="W39" s="122"/>
      <c r="X39" s="122"/>
      <c r="Y39" s="122"/>
      <c r="Z39" s="122">
        <v>8.8000000000000007</v>
      </c>
      <c r="AA39" s="139" t="s">
        <v>1069</v>
      </c>
      <c r="AB39" s="121">
        <v>-5.8</v>
      </c>
      <c r="AC39" s="135" t="s">
        <v>1068</v>
      </c>
      <c r="AD39" s="122"/>
      <c r="AE39" s="122">
        <v>0</v>
      </c>
      <c r="AF39" s="139" t="s">
        <v>1069</v>
      </c>
      <c r="AG39" s="121">
        <v>3.4000000000000696</v>
      </c>
      <c r="AH39" s="135" t="s">
        <v>1383</v>
      </c>
      <c r="AI39" s="122" t="s">
        <v>247</v>
      </c>
      <c r="AJ39" s="624" t="s">
        <v>247</v>
      </c>
      <c r="AK39" s="122">
        <v>7.6000000000000512</v>
      </c>
      <c r="AL39" s="554" t="s">
        <v>1500</v>
      </c>
      <c r="AM39" s="558">
        <v>3.7437</v>
      </c>
      <c r="AN39" s="392"/>
    </row>
    <row r="40" spans="1:40" ht="15.95" customHeight="1">
      <c r="A40" s="119">
        <v>225</v>
      </c>
      <c r="B40" s="107" t="s">
        <v>427</v>
      </c>
      <c r="C40" s="114" t="s">
        <v>38</v>
      </c>
      <c r="D40" s="110" t="s">
        <v>322</v>
      </c>
      <c r="E40" s="109" t="s">
        <v>1411</v>
      </c>
      <c r="F40" s="111" t="s">
        <v>9</v>
      </c>
      <c r="G40" s="112" t="s">
        <v>10</v>
      </c>
      <c r="H40" s="112" t="s">
        <v>541</v>
      </c>
      <c r="I40" s="112" t="s">
        <v>539</v>
      </c>
      <c r="J40" s="112" t="s">
        <v>270</v>
      </c>
      <c r="K40" s="136" t="s">
        <v>695</v>
      </c>
      <c r="L40" s="122"/>
      <c r="M40" s="122"/>
      <c r="N40" s="122"/>
      <c r="O40" s="122"/>
      <c r="P40" s="122"/>
      <c r="Q40" s="122">
        <v>18.3</v>
      </c>
      <c r="R40" s="139" t="s">
        <v>525</v>
      </c>
      <c r="S40" s="122"/>
      <c r="T40" s="122">
        <v>7.1999999999996502</v>
      </c>
      <c r="U40" s="126">
        <v>1</v>
      </c>
      <c r="V40" s="139" t="s">
        <v>1070</v>
      </c>
      <c r="W40" s="122"/>
      <c r="X40" s="122"/>
      <c r="Y40" s="122"/>
      <c r="Z40" s="122">
        <v>7.7</v>
      </c>
      <c r="AA40" s="139" t="s">
        <v>1069</v>
      </c>
      <c r="AB40" s="121">
        <v>-4.9000000000000004</v>
      </c>
      <c r="AC40" s="135" t="s">
        <v>1068</v>
      </c>
      <c r="AD40" s="122"/>
      <c r="AE40" s="122">
        <v>2.2000000000000002</v>
      </c>
      <c r="AF40" s="139" t="s">
        <v>1069</v>
      </c>
      <c r="AG40" s="121">
        <v>5.5000000000000604</v>
      </c>
      <c r="AH40" s="135" t="s">
        <v>1383</v>
      </c>
      <c r="AI40" s="122" t="s">
        <v>247</v>
      </c>
      <c r="AJ40" s="624" t="s">
        <v>247</v>
      </c>
      <c r="AK40" s="122">
        <v>8.1999999999999851</v>
      </c>
      <c r="AL40" s="554" t="s">
        <v>1500</v>
      </c>
      <c r="AM40" s="558">
        <v>3.5232000000000001</v>
      </c>
      <c r="AN40" s="392"/>
    </row>
    <row r="41" spans="1:40" ht="15.95" customHeight="1">
      <c r="A41" s="119">
        <v>226</v>
      </c>
      <c r="B41" s="107" t="s">
        <v>428</v>
      </c>
      <c r="C41" s="114" t="s">
        <v>38</v>
      </c>
      <c r="D41" s="110" t="s">
        <v>322</v>
      </c>
      <c r="E41" s="109" t="s">
        <v>1412</v>
      </c>
      <c r="F41" s="111" t="s">
        <v>9</v>
      </c>
      <c r="G41" s="112" t="s">
        <v>10</v>
      </c>
      <c r="H41" s="112" t="s">
        <v>64</v>
      </c>
      <c r="I41" s="112" t="s">
        <v>539</v>
      </c>
      <c r="J41" s="112" t="s">
        <v>270</v>
      </c>
      <c r="K41" s="136" t="s">
        <v>695</v>
      </c>
      <c r="L41" s="122"/>
      <c r="M41" s="122"/>
      <c r="N41" s="122"/>
      <c r="O41" s="122"/>
      <c r="P41" s="122"/>
      <c r="Q41" s="122">
        <v>16.5</v>
      </c>
      <c r="R41" s="139" t="s">
        <v>525</v>
      </c>
      <c r="S41" s="122"/>
      <c r="T41" s="122">
        <v>5.6000000000002697</v>
      </c>
      <c r="U41" s="139" t="s">
        <v>1072</v>
      </c>
      <c r="V41" s="122"/>
      <c r="W41" s="122"/>
      <c r="X41" s="122"/>
      <c r="Y41" s="122"/>
      <c r="Z41" s="122">
        <v>6.5</v>
      </c>
      <c r="AA41" s="139" t="s">
        <v>1070</v>
      </c>
      <c r="AB41" s="122"/>
      <c r="AC41" s="122"/>
      <c r="AD41" s="122"/>
      <c r="AE41" s="122">
        <v>0.5</v>
      </c>
      <c r="AF41" s="139" t="s">
        <v>1505</v>
      </c>
      <c r="AG41" s="122" t="s">
        <v>247</v>
      </c>
      <c r="AH41" s="122" t="s">
        <v>247</v>
      </c>
      <c r="AI41" s="122" t="s">
        <v>247</v>
      </c>
      <c r="AJ41" s="624" t="s">
        <v>247</v>
      </c>
      <c r="AK41" s="122">
        <v>10.800000000000587</v>
      </c>
      <c r="AL41" s="560" t="s">
        <v>1500</v>
      </c>
      <c r="AM41" s="558">
        <v>5.3735999999999997</v>
      </c>
      <c r="AN41" s="392"/>
    </row>
    <row r="42" spans="1:40" ht="15.95" customHeight="1">
      <c r="A42" s="119">
        <v>227</v>
      </c>
      <c r="B42" s="107" t="s">
        <v>429</v>
      </c>
      <c r="C42" s="114" t="s">
        <v>38</v>
      </c>
      <c r="D42" s="110" t="s">
        <v>323</v>
      </c>
      <c r="E42" s="109" t="s">
        <v>85</v>
      </c>
      <c r="F42" s="111" t="s">
        <v>9</v>
      </c>
      <c r="G42" s="112" t="s">
        <v>73</v>
      </c>
      <c r="H42" s="112" t="s">
        <v>64</v>
      </c>
      <c r="I42" s="112" t="s">
        <v>539</v>
      </c>
      <c r="J42" s="112" t="s">
        <v>270</v>
      </c>
      <c r="K42" s="136" t="s">
        <v>695</v>
      </c>
      <c r="L42" s="122"/>
      <c r="M42" s="122"/>
      <c r="N42" s="122"/>
      <c r="O42" s="122"/>
      <c r="P42" s="122"/>
      <c r="Q42" s="122">
        <v>9.1999999999999993</v>
      </c>
      <c r="R42" s="139" t="s">
        <v>525</v>
      </c>
      <c r="S42" s="122"/>
      <c r="T42" s="122">
        <v>1.39999999999985</v>
      </c>
      <c r="U42" s="139" t="s">
        <v>1072</v>
      </c>
      <c r="V42" s="122"/>
      <c r="W42" s="122"/>
      <c r="X42" s="122"/>
      <c r="Y42" s="122"/>
      <c r="Z42" s="122">
        <v>5.0999999999999996</v>
      </c>
      <c r="AA42" s="139" t="s">
        <v>1070</v>
      </c>
      <c r="AB42" s="122"/>
      <c r="AC42" s="122"/>
      <c r="AD42" s="122"/>
      <c r="AE42" s="122">
        <v>2.5</v>
      </c>
      <c r="AF42" s="125" t="s">
        <v>247</v>
      </c>
      <c r="AG42" s="122" t="s">
        <v>247</v>
      </c>
      <c r="AH42" s="122" t="s">
        <v>247</v>
      </c>
      <c r="AI42" s="122" t="s">
        <v>247</v>
      </c>
      <c r="AJ42" s="624" t="s">
        <v>247</v>
      </c>
      <c r="AK42" s="122" t="s">
        <v>247</v>
      </c>
      <c r="AL42" s="560" t="s">
        <v>535</v>
      </c>
      <c r="AM42" s="558">
        <v>2.3431999999999999</v>
      </c>
      <c r="AN42" s="392"/>
    </row>
    <row r="43" spans="1:40" ht="15.95" customHeight="1">
      <c r="A43" s="119">
        <v>228</v>
      </c>
      <c r="B43" s="107" t="s">
        <v>430</v>
      </c>
      <c r="C43" s="114" t="s">
        <v>38</v>
      </c>
      <c r="D43" s="110" t="s">
        <v>654</v>
      </c>
      <c r="E43" s="109" t="s">
        <v>257</v>
      </c>
      <c r="F43" s="111" t="s">
        <v>9</v>
      </c>
      <c r="G43" s="112" t="s">
        <v>73</v>
      </c>
      <c r="H43" s="112" t="s">
        <v>541</v>
      </c>
      <c r="I43" s="112" t="s">
        <v>54</v>
      </c>
      <c r="J43" s="112" t="s">
        <v>270</v>
      </c>
      <c r="K43" s="136" t="s">
        <v>695</v>
      </c>
      <c r="L43" s="122"/>
      <c r="M43" s="122"/>
      <c r="N43" s="122"/>
      <c r="O43" s="122"/>
      <c r="P43" s="122"/>
      <c r="Q43" s="122">
        <v>12.4</v>
      </c>
      <c r="R43" s="139" t="s">
        <v>525</v>
      </c>
      <c r="S43" s="122"/>
      <c r="T43" s="122">
        <v>7.2999999999998604</v>
      </c>
      <c r="U43" s="139" t="s">
        <v>1072</v>
      </c>
      <c r="V43" s="122"/>
      <c r="W43" s="122"/>
      <c r="X43" s="122"/>
      <c r="Y43" s="122"/>
      <c r="Z43" s="122">
        <v>5.9</v>
      </c>
      <c r="AA43" s="139" t="s">
        <v>1070</v>
      </c>
      <c r="AB43" s="122"/>
      <c r="AC43" s="122"/>
      <c r="AD43" s="122"/>
      <c r="AE43" s="122">
        <v>2.5</v>
      </c>
      <c r="AF43" s="125" t="s">
        <v>247</v>
      </c>
      <c r="AG43" s="122" t="s">
        <v>247</v>
      </c>
      <c r="AH43" s="122" t="s">
        <v>247</v>
      </c>
      <c r="AI43" s="122" t="s">
        <v>247</v>
      </c>
      <c r="AJ43" s="624" t="s">
        <v>247</v>
      </c>
      <c r="AK43" s="122" t="s">
        <v>247</v>
      </c>
      <c r="AL43" s="560" t="s">
        <v>535</v>
      </c>
      <c r="AM43" s="558">
        <v>3.8801000000000001</v>
      </c>
      <c r="AN43" s="392"/>
    </row>
    <row r="44" spans="1:40" ht="15.95" customHeight="1">
      <c r="A44" s="119">
        <v>229</v>
      </c>
      <c r="B44" s="107" t="s">
        <v>431</v>
      </c>
      <c r="C44" s="114" t="s">
        <v>38</v>
      </c>
      <c r="D44" s="110" t="s">
        <v>682</v>
      </c>
      <c r="E44" s="109" t="s">
        <v>89</v>
      </c>
      <c r="F44" s="111" t="s">
        <v>9</v>
      </c>
      <c r="G44" s="112" t="s">
        <v>73</v>
      </c>
      <c r="H44" s="112" t="s">
        <v>541</v>
      </c>
      <c r="I44" s="112" t="s">
        <v>54</v>
      </c>
      <c r="J44" s="112" t="s">
        <v>270</v>
      </c>
      <c r="K44" s="136" t="s">
        <v>695</v>
      </c>
      <c r="L44" s="122"/>
      <c r="M44" s="122"/>
      <c r="N44" s="122"/>
      <c r="O44" s="122"/>
      <c r="P44" s="122"/>
      <c r="Q44" s="122">
        <v>27.7</v>
      </c>
      <c r="R44" s="139" t="s">
        <v>525</v>
      </c>
      <c r="S44" s="122"/>
      <c r="T44" s="122">
        <v>4.8000000000003604</v>
      </c>
      <c r="U44" s="139" t="s">
        <v>1072</v>
      </c>
      <c r="V44" s="122"/>
      <c r="W44" s="122"/>
      <c r="X44" s="122"/>
      <c r="Y44" s="122"/>
      <c r="Z44" s="122">
        <v>9.6999999999999993</v>
      </c>
      <c r="AA44" s="139" t="s">
        <v>1070</v>
      </c>
      <c r="AB44" s="122"/>
      <c r="AC44" s="122"/>
      <c r="AD44" s="122"/>
      <c r="AE44" s="122">
        <v>7.4</v>
      </c>
      <c r="AF44" s="125" t="s">
        <v>247</v>
      </c>
      <c r="AG44" s="122" t="s">
        <v>247</v>
      </c>
      <c r="AH44" s="122" t="s">
        <v>247</v>
      </c>
      <c r="AI44" s="122" t="s">
        <v>247</v>
      </c>
      <c r="AJ44" s="624" t="s">
        <v>247</v>
      </c>
      <c r="AK44" s="122" t="s">
        <v>247</v>
      </c>
      <c r="AL44" s="560" t="s">
        <v>535</v>
      </c>
      <c r="AM44" s="558">
        <v>4.8811999999999998</v>
      </c>
      <c r="AN44" s="392"/>
    </row>
    <row r="45" spans="1:40" ht="15.95" customHeight="1">
      <c r="A45" s="119">
        <v>230</v>
      </c>
      <c r="B45" s="107" t="s">
        <v>432</v>
      </c>
      <c r="C45" s="114" t="s">
        <v>38</v>
      </c>
      <c r="D45" s="110" t="s">
        <v>683</v>
      </c>
      <c r="E45" s="109" t="s">
        <v>1413</v>
      </c>
      <c r="F45" s="111" t="s">
        <v>9</v>
      </c>
      <c r="G45" s="112" t="s">
        <v>31</v>
      </c>
      <c r="H45" s="112" t="s">
        <v>541</v>
      </c>
      <c r="I45" s="112" t="s">
        <v>539</v>
      </c>
      <c r="J45" s="112" t="s">
        <v>270</v>
      </c>
      <c r="K45" s="136" t="s">
        <v>695</v>
      </c>
      <c r="L45" s="122"/>
      <c r="M45" s="122"/>
      <c r="N45" s="122"/>
      <c r="O45" s="122"/>
      <c r="P45" s="122"/>
      <c r="Q45" s="122">
        <v>16.5</v>
      </c>
      <c r="R45" s="139" t="s">
        <v>525</v>
      </c>
      <c r="S45" s="122"/>
      <c r="T45" s="122">
        <v>1.9000000000000099</v>
      </c>
      <c r="U45" s="126">
        <v>0.7</v>
      </c>
      <c r="V45" s="139" t="s">
        <v>1070</v>
      </c>
      <c r="W45" s="122"/>
      <c r="X45" s="122"/>
      <c r="Y45" s="122"/>
      <c r="Z45" s="122">
        <v>7.1</v>
      </c>
      <c r="AA45" s="139" t="s">
        <v>1069</v>
      </c>
      <c r="AB45" s="121">
        <v>-0.3</v>
      </c>
      <c r="AC45" s="135" t="s">
        <v>1068</v>
      </c>
      <c r="AD45" s="122"/>
      <c r="AE45" s="122">
        <v>3.4</v>
      </c>
      <c r="AF45" s="139" t="s">
        <v>1069</v>
      </c>
      <c r="AG45" s="121">
        <v>0.19999999999997797</v>
      </c>
      <c r="AH45" s="122" t="s">
        <v>247</v>
      </c>
      <c r="AI45" s="122" t="s">
        <v>247</v>
      </c>
      <c r="AJ45" s="624" t="s">
        <v>247</v>
      </c>
      <c r="AK45" s="122" t="s">
        <v>247</v>
      </c>
      <c r="AL45" s="554" t="s">
        <v>1283</v>
      </c>
      <c r="AM45" s="558">
        <v>3.0802</v>
      </c>
      <c r="AN45" s="392"/>
    </row>
    <row r="46" spans="1:40" ht="15.95" customHeight="1">
      <c r="A46" s="119">
        <v>231</v>
      </c>
      <c r="B46" s="107" t="s">
        <v>598</v>
      </c>
      <c r="C46" s="114" t="s">
        <v>38</v>
      </c>
      <c r="D46" s="110" t="s">
        <v>324</v>
      </c>
      <c r="E46" s="109" t="s">
        <v>1414</v>
      </c>
      <c r="F46" s="111" t="s">
        <v>9</v>
      </c>
      <c r="G46" s="112" t="s">
        <v>31</v>
      </c>
      <c r="H46" s="112" t="s">
        <v>64</v>
      </c>
      <c r="I46" s="112" t="s">
        <v>54</v>
      </c>
      <c r="J46" s="112" t="s">
        <v>270</v>
      </c>
      <c r="K46" s="136" t="s">
        <v>695</v>
      </c>
      <c r="L46" s="122"/>
      <c r="M46" s="122"/>
      <c r="N46" s="122"/>
      <c r="O46" s="122"/>
      <c r="P46" s="122"/>
      <c r="Q46" s="122">
        <v>82.2</v>
      </c>
      <c r="R46" s="139" t="s">
        <v>1071</v>
      </c>
      <c r="S46" s="122"/>
      <c r="T46" s="122"/>
      <c r="U46" s="121">
        <v>118.9</v>
      </c>
      <c r="V46" s="122">
        <v>44</v>
      </c>
      <c r="W46" s="125">
        <v>19.2</v>
      </c>
      <c r="X46" s="125">
        <v>6.6</v>
      </c>
      <c r="Y46" s="139" t="s">
        <v>1069</v>
      </c>
      <c r="Z46" s="122">
        <v>14.7</v>
      </c>
      <c r="AA46" s="139" t="s">
        <v>1069</v>
      </c>
      <c r="AB46" s="121">
        <v>15.4</v>
      </c>
      <c r="AC46" s="135" t="s">
        <v>1068</v>
      </c>
      <c r="AD46" s="122"/>
      <c r="AE46" s="122">
        <v>9.1</v>
      </c>
      <c r="AF46" s="139" t="s">
        <v>1069</v>
      </c>
      <c r="AG46" s="121">
        <v>9.2999999999996419</v>
      </c>
      <c r="AH46" s="122" t="s">
        <v>247</v>
      </c>
      <c r="AI46" s="122" t="s">
        <v>247</v>
      </c>
      <c r="AJ46" s="624" t="s">
        <v>247</v>
      </c>
      <c r="AK46" s="122" t="s">
        <v>247</v>
      </c>
      <c r="AL46" s="554" t="s">
        <v>1283</v>
      </c>
      <c r="AM46" s="555">
        <v>5.2644000000000002</v>
      </c>
      <c r="AN46" s="392"/>
    </row>
    <row r="47" spans="1:40" s="231" customFormat="1" ht="15.95" customHeight="1">
      <c r="A47" s="214">
        <v>232</v>
      </c>
      <c r="B47" s="215" t="s">
        <v>433</v>
      </c>
      <c r="C47" s="216" t="s">
        <v>38</v>
      </c>
      <c r="D47" s="217" t="s">
        <v>1355</v>
      </c>
      <c r="E47" s="218" t="s">
        <v>299</v>
      </c>
      <c r="F47" s="219" t="s">
        <v>9</v>
      </c>
      <c r="G47" s="220" t="s">
        <v>31</v>
      </c>
      <c r="H47" s="220" t="s">
        <v>64</v>
      </c>
      <c r="I47" s="220" t="s">
        <v>539</v>
      </c>
      <c r="J47" s="220" t="s">
        <v>270</v>
      </c>
      <c r="K47" s="228" t="s">
        <v>247</v>
      </c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625"/>
      <c r="AK47" s="228" t="s">
        <v>247</v>
      </c>
      <c r="AL47" s="561" t="s">
        <v>544</v>
      </c>
      <c r="AM47" s="562" t="s">
        <v>544</v>
      </c>
      <c r="AN47" s="393" t="s">
        <v>730</v>
      </c>
    </row>
    <row r="48" spans="1:40" ht="15.95" customHeight="1">
      <c r="A48" s="119">
        <v>233</v>
      </c>
      <c r="B48" s="107" t="s">
        <v>434</v>
      </c>
      <c r="C48" s="114" t="s">
        <v>38</v>
      </c>
      <c r="D48" s="110" t="s">
        <v>1355</v>
      </c>
      <c r="E48" s="109" t="s">
        <v>299</v>
      </c>
      <c r="F48" s="111" t="s">
        <v>9</v>
      </c>
      <c r="G48" s="112" t="s">
        <v>31</v>
      </c>
      <c r="H48" s="112" t="s">
        <v>64</v>
      </c>
      <c r="I48" s="112" t="s">
        <v>54</v>
      </c>
      <c r="J48" s="112" t="s">
        <v>270</v>
      </c>
      <c r="K48" s="136" t="s">
        <v>695</v>
      </c>
      <c r="L48" s="122"/>
      <c r="M48" s="122"/>
      <c r="N48" s="122"/>
      <c r="O48" s="122"/>
      <c r="P48" s="122"/>
      <c r="Q48" s="122">
        <v>25.8</v>
      </c>
      <c r="R48" s="139" t="s">
        <v>525</v>
      </c>
      <c r="S48" s="122"/>
      <c r="T48" s="122">
        <v>6.0999999999999899</v>
      </c>
      <c r="U48" s="126">
        <v>3</v>
      </c>
      <c r="V48" s="139" t="s">
        <v>1070</v>
      </c>
      <c r="W48" s="122"/>
      <c r="X48" s="122"/>
      <c r="Y48" s="122"/>
      <c r="Z48" s="121">
        <v>12.9</v>
      </c>
      <c r="AA48" s="139" t="s">
        <v>1069</v>
      </c>
      <c r="AB48" s="121">
        <v>0.7</v>
      </c>
      <c r="AC48" s="135" t="s">
        <v>1068</v>
      </c>
      <c r="AD48" s="122"/>
      <c r="AE48" s="122">
        <v>4</v>
      </c>
      <c r="AF48" s="139" t="s">
        <v>1069</v>
      </c>
      <c r="AG48" s="121">
        <v>1.7999999999998018</v>
      </c>
      <c r="AH48" s="122" t="s">
        <v>247</v>
      </c>
      <c r="AI48" s="122" t="s">
        <v>247</v>
      </c>
      <c r="AJ48" s="624" t="s">
        <v>247</v>
      </c>
      <c r="AK48" s="122" t="s">
        <v>247</v>
      </c>
      <c r="AL48" s="554" t="s">
        <v>1283</v>
      </c>
      <c r="AM48" s="558">
        <v>3.5861000000000001</v>
      </c>
      <c r="AN48" s="392"/>
    </row>
    <row r="49" spans="1:40" ht="15.95" customHeight="1">
      <c r="A49" s="119">
        <v>301</v>
      </c>
      <c r="B49" s="107" t="s">
        <v>409</v>
      </c>
      <c r="C49" s="114" t="s">
        <v>96</v>
      </c>
      <c r="D49" s="110" t="s">
        <v>558</v>
      </c>
      <c r="E49" s="109" t="s">
        <v>1415</v>
      </c>
      <c r="F49" s="111" t="s">
        <v>12</v>
      </c>
      <c r="G49" s="112" t="s">
        <v>19</v>
      </c>
      <c r="H49" s="112" t="s">
        <v>541</v>
      </c>
      <c r="I49" s="112" t="s">
        <v>284</v>
      </c>
      <c r="J49" s="112" t="s">
        <v>264</v>
      </c>
      <c r="K49" s="128">
        <v>8.6999999999999993</v>
      </c>
      <c r="L49" s="128">
        <v>2.9</v>
      </c>
      <c r="M49" s="128">
        <v>-1.9</v>
      </c>
      <c r="N49" s="124">
        <v>4.2</v>
      </c>
      <c r="O49" s="123">
        <v>1.7999999999993599</v>
      </c>
      <c r="P49" s="124">
        <v>-7.2</v>
      </c>
      <c r="Q49" s="122">
        <v>7.5</v>
      </c>
      <c r="R49" s="126">
        <v>4.5999999999999996</v>
      </c>
      <c r="S49" s="135" t="s">
        <v>637</v>
      </c>
      <c r="T49" s="122">
        <v>34.000000000000703</v>
      </c>
      <c r="U49" s="126">
        <v>3.7</v>
      </c>
      <c r="V49" s="125">
        <v>3.7</v>
      </c>
      <c r="W49" s="125">
        <v>-4.3</v>
      </c>
      <c r="X49" s="125">
        <v>0.8</v>
      </c>
      <c r="Y49" s="125">
        <v>2.2000000000000002</v>
      </c>
      <c r="Z49" s="125">
        <v>3.2</v>
      </c>
      <c r="AA49" s="125">
        <v>-1.9</v>
      </c>
      <c r="AB49" s="126">
        <v>0.8</v>
      </c>
      <c r="AC49" s="126">
        <v>-0.1</v>
      </c>
      <c r="AD49" s="135" t="s">
        <v>1069</v>
      </c>
      <c r="AE49" s="122">
        <v>0</v>
      </c>
      <c r="AF49" s="125">
        <v>2.3999999999997357</v>
      </c>
      <c r="AG49" s="126">
        <v>3.2999999999994145</v>
      </c>
      <c r="AH49" s="121">
        <v>0.89999999999967883</v>
      </c>
      <c r="AI49" s="122" t="s">
        <v>247</v>
      </c>
      <c r="AJ49" s="624" t="s">
        <v>247</v>
      </c>
      <c r="AK49" s="122" t="s">
        <v>247</v>
      </c>
      <c r="AL49" s="554" t="s">
        <v>1340</v>
      </c>
      <c r="AM49" s="558">
        <v>13.252000000000001</v>
      </c>
      <c r="AN49" s="392"/>
    </row>
    <row r="50" spans="1:40" ht="15.95" customHeight="1">
      <c r="A50" s="119">
        <v>302</v>
      </c>
      <c r="B50" s="107" t="s">
        <v>382</v>
      </c>
      <c r="C50" s="114" t="s">
        <v>96</v>
      </c>
      <c r="D50" s="110" t="s">
        <v>569</v>
      </c>
      <c r="E50" s="109" t="s">
        <v>99</v>
      </c>
      <c r="F50" s="111" t="s">
        <v>12</v>
      </c>
      <c r="G50" s="112" t="s">
        <v>73</v>
      </c>
      <c r="H50" s="112" t="s">
        <v>541</v>
      </c>
      <c r="I50" s="112" t="s">
        <v>539</v>
      </c>
      <c r="J50" s="112" t="s">
        <v>264</v>
      </c>
      <c r="K50" s="124">
        <v>13.5</v>
      </c>
      <c r="L50" s="124">
        <v>2.7</v>
      </c>
      <c r="M50" s="124">
        <v>4.8</v>
      </c>
      <c r="N50" s="124">
        <v>1.9</v>
      </c>
      <c r="O50" s="123">
        <v>4.7999999999994696</v>
      </c>
      <c r="P50" s="124">
        <v>-6.1</v>
      </c>
      <c r="Q50" s="122">
        <v>11.7</v>
      </c>
      <c r="R50" s="126">
        <v>16.2</v>
      </c>
      <c r="S50" s="122">
        <v>1.3</v>
      </c>
      <c r="T50" s="125">
        <v>6.4</v>
      </c>
      <c r="U50" s="139" t="s">
        <v>1071</v>
      </c>
      <c r="V50" s="122"/>
      <c r="W50" s="122"/>
      <c r="X50" s="122">
        <v>13.2</v>
      </c>
      <c r="Y50" s="125">
        <v>-1</v>
      </c>
      <c r="Z50" s="125">
        <v>7.2</v>
      </c>
      <c r="AA50" s="125">
        <v>-2.5</v>
      </c>
      <c r="AB50" s="139" t="s">
        <v>1071</v>
      </c>
      <c r="AC50" s="122"/>
      <c r="AD50" s="122"/>
      <c r="AE50" s="122">
        <v>4</v>
      </c>
      <c r="AF50" s="125">
        <v>3.3999999999991815</v>
      </c>
      <c r="AG50" s="125" t="s">
        <v>247</v>
      </c>
      <c r="AH50" s="122" t="s">
        <v>247</v>
      </c>
      <c r="AI50" s="122" t="s">
        <v>247</v>
      </c>
      <c r="AJ50" s="624" t="s">
        <v>247</v>
      </c>
      <c r="AK50" s="122" t="s">
        <v>247</v>
      </c>
      <c r="AL50" s="560" t="s">
        <v>536</v>
      </c>
      <c r="AM50" s="558">
        <v>8.8207000000000004</v>
      </c>
      <c r="AN50" s="392"/>
    </row>
    <row r="51" spans="1:40" ht="15.95" customHeight="1">
      <c r="A51" s="119">
        <v>303</v>
      </c>
      <c r="B51" s="107" t="s">
        <v>403</v>
      </c>
      <c r="C51" s="114" t="s">
        <v>96</v>
      </c>
      <c r="D51" s="110" t="s">
        <v>100</v>
      </c>
      <c r="E51" s="109" t="s">
        <v>1416</v>
      </c>
      <c r="F51" s="111" t="s">
        <v>9</v>
      </c>
      <c r="G51" s="112" t="s">
        <v>10</v>
      </c>
      <c r="H51" s="112" t="s">
        <v>541</v>
      </c>
      <c r="I51" s="112" t="s">
        <v>539</v>
      </c>
      <c r="J51" s="112" t="s">
        <v>270</v>
      </c>
      <c r="K51" s="124">
        <v>10.199999999999999</v>
      </c>
      <c r="L51" s="124">
        <v>-1.9</v>
      </c>
      <c r="M51" s="124">
        <v>0.3</v>
      </c>
      <c r="N51" s="123">
        <v>3.9</v>
      </c>
      <c r="O51" s="123">
        <v>4.3000000000006402</v>
      </c>
      <c r="P51" s="124">
        <v>-7.4</v>
      </c>
      <c r="Q51" s="122">
        <v>9.6999999999999993</v>
      </c>
      <c r="R51" s="126">
        <v>4.4000000000000004</v>
      </c>
      <c r="S51" s="135" t="s">
        <v>637</v>
      </c>
      <c r="T51" s="122">
        <v>1.80000000000113</v>
      </c>
      <c r="U51" s="139" t="s">
        <v>1068</v>
      </c>
      <c r="V51" s="122"/>
      <c r="W51" s="122">
        <v>0.5</v>
      </c>
      <c r="X51" s="126">
        <v>2.4</v>
      </c>
      <c r="Y51" s="125">
        <v>-2.2000000000000002</v>
      </c>
      <c r="Z51" s="125">
        <v>7.4</v>
      </c>
      <c r="AA51" s="139" t="s">
        <v>1070</v>
      </c>
      <c r="AB51" s="122"/>
      <c r="AC51" s="122"/>
      <c r="AD51" s="122"/>
      <c r="AE51" s="122">
        <v>2.1</v>
      </c>
      <c r="AF51" s="139" t="s">
        <v>1505</v>
      </c>
      <c r="AG51" s="122" t="s">
        <v>247</v>
      </c>
      <c r="AH51" s="122" t="s">
        <v>247</v>
      </c>
      <c r="AI51" s="122" t="s">
        <v>247</v>
      </c>
      <c r="AJ51" s="624" t="s">
        <v>247</v>
      </c>
      <c r="AK51" s="122">
        <v>12.299999999999756</v>
      </c>
      <c r="AL51" s="560" t="s">
        <v>1500</v>
      </c>
      <c r="AM51" s="558">
        <v>9.5541</v>
      </c>
      <c r="AN51" s="392"/>
    </row>
    <row r="52" spans="1:40" ht="15.95" customHeight="1">
      <c r="A52" s="119">
        <v>304</v>
      </c>
      <c r="B52" s="107" t="s">
        <v>381</v>
      </c>
      <c r="C52" s="114" t="s">
        <v>96</v>
      </c>
      <c r="D52" s="110" t="s">
        <v>655</v>
      </c>
      <c r="E52" s="109" t="s">
        <v>102</v>
      </c>
      <c r="F52" s="111" t="s">
        <v>9</v>
      </c>
      <c r="G52" s="112" t="s">
        <v>19</v>
      </c>
      <c r="H52" s="112" t="s">
        <v>541</v>
      </c>
      <c r="I52" s="112" t="s">
        <v>539</v>
      </c>
      <c r="J52" s="112" t="s">
        <v>264</v>
      </c>
      <c r="K52" s="128">
        <v>9.5</v>
      </c>
      <c r="L52" s="128">
        <v>1.8</v>
      </c>
      <c r="M52" s="128">
        <v>-1.4</v>
      </c>
      <c r="N52" s="123">
        <v>1.2</v>
      </c>
      <c r="O52" s="123">
        <v>3.0000000000001101</v>
      </c>
      <c r="P52" s="124">
        <v>-7.5</v>
      </c>
      <c r="Q52" s="122">
        <v>6.4</v>
      </c>
      <c r="R52" s="126">
        <v>4.2</v>
      </c>
      <c r="S52" s="122">
        <v>-0.1</v>
      </c>
      <c r="T52" s="125">
        <v>0.4</v>
      </c>
      <c r="U52" s="139" t="s">
        <v>1071</v>
      </c>
      <c r="V52" s="122"/>
      <c r="W52" s="122"/>
      <c r="X52" s="122">
        <v>0.8</v>
      </c>
      <c r="Y52" s="125">
        <v>-0.1</v>
      </c>
      <c r="Z52" s="125">
        <v>4.5999999999999996</v>
      </c>
      <c r="AA52" s="125">
        <v>-2.8</v>
      </c>
      <c r="AB52" s="139" t="s">
        <v>1071</v>
      </c>
      <c r="AC52" s="122"/>
      <c r="AD52" s="122"/>
      <c r="AE52" s="122">
        <v>0.5</v>
      </c>
      <c r="AF52" s="125">
        <v>2.500000000001279</v>
      </c>
      <c r="AG52" s="125" t="s">
        <v>247</v>
      </c>
      <c r="AH52" s="122" t="s">
        <v>247</v>
      </c>
      <c r="AI52" s="122" t="s">
        <v>247</v>
      </c>
      <c r="AJ52" s="122" t="s">
        <v>247</v>
      </c>
      <c r="AK52" s="122" t="s">
        <v>247</v>
      </c>
      <c r="AL52" s="560" t="s">
        <v>536</v>
      </c>
      <c r="AM52" s="558">
        <v>9.3439999999999994</v>
      </c>
      <c r="AN52" s="392"/>
    </row>
    <row r="53" spans="1:40" ht="15.95" customHeight="1">
      <c r="A53" s="119">
        <v>305</v>
      </c>
      <c r="B53" s="107" t="s">
        <v>402</v>
      </c>
      <c r="C53" s="114" t="s">
        <v>96</v>
      </c>
      <c r="D53" s="110" t="s">
        <v>103</v>
      </c>
      <c r="E53" s="109" t="s">
        <v>104</v>
      </c>
      <c r="F53" s="111" t="s">
        <v>9</v>
      </c>
      <c r="G53" s="112" t="s">
        <v>10</v>
      </c>
      <c r="H53" s="112" t="s">
        <v>541</v>
      </c>
      <c r="I53" s="112" t="s">
        <v>54</v>
      </c>
      <c r="J53" s="112" t="s">
        <v>264</v>
      </c>
      <c r="K53" s="124">
        <v>10.8</v>
      </c>
      <c r="L53" s="124">
        <v>0.2</v>
      </c>
      <c r="M53" s="124">
        <v>1.9</v>
      </c>
      <c r="N53" s="124">
        <v>3.7</v>
      </c>
      <c r="O53" s="123">
        <v>4.9999999999998899</v>
      </c>
      <c r="P53" s="124">
        <v>-4.9000000000000004</v>
      </c>
      <c r="Q53" s="122">
        <v>7.8</v>
      </c>
      <c r="R53" s="126">
        <v>6.3</v>
      </c>
      <c r="S53" s="135" t="s">
        <v>637</v>
      </c>
      <c r="T53" s="122">
        <v>4.9999999999998899</v>
      </c>
      <c r="U53" s="139" t="s">
        <v>1070</v>
      </c>
      <c r="V53" s="122"/>
      <c r="W53" s="122"/>
      <c r="X53" s="122"/>
      <c r="Y53" s="122">
        <v>12.6</v>
      </c>
      <c r="Z53" s="125">
        <v>8.6</v>
      </c>
      <c r="AA53" s="139" t="s">
        <v>1070</v>
      </c>
      <c r="AB53" s="122"/>
      <c r="AC53" s="122"/>
      <c r="AD53" s="122"/>
      <c r="AE53" s="122">
        <v>5.3</v>
      </c>
      <c r="AF53" s="139" t="s">
        <v>1382</v>
      </c>
      <c r="AG53" s="122" t="s">
        <v>247</v>
      </c>
      <c r="AH53" s="122" t="s">
        <v>247</v>
      </c>
      <c r="AI53" s="122" t="s">
        <v>247</v>
      </c>
      <c r="AJ53" s="122">
        <v>31.39999999999965</v>
      </c>
      <c r="AK53" s="141" t="s">
        <v>247</v>
      </c>
      <c r="AL53" s="560" t="s">
        <v>1380</v>
      </c>
      <c r="AM53" s="558">
        <v>7.5693000000000001</v>
      </c>
      <c r="AN53" s="392"/>
    </row>
    <row r="54" spans="1:40" ht="15.95" customHeight="1">
      <c r="A54" s="119">
        <v>306</v>
      </c>
      <c r="B54" s="107" t="s">
        <v>380</v>
      </c>
      <c r="C54" s="114" t="s">
        <v>96</v>
      </c>
      <c r="D54" s="110" t="s">
        <v>570</v>
      </c>
      <c r="E54" s="109" t="s">
        <v>105</v>
      </c>
      <c r="F54" s="111" t="s">
        <v>9</v>
      </c>
      <c r="G54" s="112" t="s">
        <v>19</v>
      </c>
      <c r="H54" s="112" t="s">
        <v>541</v>
      </c>
      <c r="I54" s="112" t="s">
        <v>54</v>
      </c>
      <c r="J54" s="112" t="s">
        <v>264</v>
      </c>
      <c r="K54" s="128">
        <v>10.1</v>
      </c>
      <c r="L54" s="128">
        <v>4.7</v>
      </c>
      <c r="M54" s="128">
        <v>-0.6</v>
      </c>
      <c r="N54" s="123">
        <v>2.9</v>
      </c>
      <c r="O54" s="123">
        <v>7.10000000000033</v>
      </c>
      <c r="P54" s="124">
        <v>-4.9000000000000004</v>
      </c>
      <c r="Q54" s="122">
        <v>7.3</v>
      </c>
      <c r="R54" s="126">
        <v>6.3</v>
      </c>
      <c r="S54" s="122">
        <v>3.5</v>
      </c>
      <c r="T54" s="125">
        <v>5.8</v>
      </c>
      <c r="U54" s="139" t="s">
        <v>1070</v>
      </c>
      <c r="V54" s="122"/>
      <c r="W54" s="122"/>
      <c r="X54" s="122"/>
      <c r="Y54" s="122">
        <v>14.1</v>
      </c>
      <c r="Z54" s="125">
        <v>6.7</v>
      </c>
      <c r="AA54" s="125">
        <v>-3.2</v>
      </c>
      <c r="AB54" s="139" t="s">
        <v>1071</v>
      </c>
      <c r="AC54" s="122"/>
      <c r="AD54" s="122"/>
      <c r="AE54" s="122">
        <v>1.7</v>
      </c>
      <c r="AF54" s="125">
        <v>5.7000000000000384</v>
      </c>
      <c r="AG54" s="125" t="s">
        <v>247</v>
      </c>
      <c r="AH54" s="122" t="s">
        <v>247</v>
      </c>
      <c r="AI54" s="122" t="s">
        <v>247</v>
      </c>
      <c r="AJ54" s="122" t="s">
        <v>247</v>
      </c>
      <c r="AK54" s="122" t="s">
        <v>247</v>
      </c>
      <c r="AL54" s="560" t="s">
        <v>536</v>
      </c>
      <c r="AM54" s="558">
        <v>6.9653</v>
      </c>
      <c r="AN54" s="392"/>
    </row>
    <row r="55" spans="1:40" ht="15.95" customHeight="1">
      <c r="A55" s="119">
        <v>307</v>
      </c>
      <c r="B55" s="107" t="s">
        <v>379</v>
      </c>
      <c r="C55" s="114" t="s">
        <v>96</v>
      </c>
      <c r="D55" s="110" t="s">
        <v>656</v>
      </c>
      <c r="E55" s="109" t="s">
        <v>106</v>
      </c>
      <c r="F55" s="111" t="s">
        <v>9</v>
      </c>
      <c r="G55" s="112" t="s">
        <v>19</v>
      </c>
      <c r="H55" s="112" t="s">
        <v>541</v>
      </c>
      <c r="I55" s="112" t="s">
        <v>54</v>
      </c>
      <c r="J55" s="112" t="s">
        <v>264</v>
      </c>
      <c r="K55" s="124">
        <v>11.1</v>
      </c>
      <c r="L55" s="124">
        <v>2.9</v>
      </c>
      <c r="M55" s="124">
        <v>2.2000000000000002</v>
      </c>
      <c r="N55" s="124">
        <v>1.5</v>
      </c>
      <c r="O55" s="123">
        <v>7.10000000000033</v>
      </c>
      <c r="P55" s="124">
        <v>-4.7</v>
      </c>
      <c r="Q55" s="122">
        <v>8.9</v>
      </c>
      <c r="R55" s="126">
        <v>6.8</v>
      </c>
      <c r="S55" s="122">
        <v>2.4</v>
      </c>
      <c r="T55" s="125">
        <v>4.3</v>
      </c>
      <c r="U55" s="139" t="s">
        <v>1070</v>
      </c>
      <c r="V55" s="122"/>
      <c r="W55" s="122"/>
      <c r="X55" s="122"/>
      <c r="Y55" s="122">
        <v>5.0999999999999996</v>
      </c>
      <c r="Z55" s="125">
        <v>7.7</v>
      </c>
      <c r="AA55" s="139" t="s">
        <v>1070</v>
      </c>
      <c r="AB55" s="122"/>
      <c r="AC55" s="122"/>
      <c r="AD55" s="122"/>
      <c r="AE55" s="122">
        <v>-3.5</v>
      </c>
      <c r="AF55" s="125" t="s">
        <v>247</v>
      </c>
      <c r="AG55" s="122" t="s">
        <v>247</v>
      </c>
      <c r="AH55" s="122" t="s">
        <v>247</v>
      </c>
      <c r="AI55" s="122" t="s">
        <v>247</v>
      </c>
      <c r="AJ55" s="122" t="s">
        <v>247</v>
      </c>
      <c r="AK55" s="122" t="s">
        <v>247</v>
      </c>
      <c r="AL55" s="560" t="s">
        <v>535</v>
      </c>
      <c r="AM55" s="558">
        <v>6.0046999999999997</v>
      </c>
      <c r="AN55" s="392"/>
    </row>
    <row r="56" spans="1:40" ht="15.95" customHeight="1">
      <c r="A56" s="119">
        <v>308</v>
      </c>
      <c r="B56" s="107" t="s">
        <v>377</v>
      </c>
      <c r="C56" s="114" t="s">
        <v>96</v>
      </c>
      <c r="D56" s="110" t="s">
        <v>107</v>
      </c>
      <c r="E56" s="109" t="s">
        <v>108</v>
      </c>
      <c r="F56" s="111" t="s">
        <v>9</v>
      </c>
      <c r="G56" s="112" t="s">
        <v>10</v>
      </c>
      <c r="H56" s="112" t="s">
        <v>541</v>
      </c>
      <c r="I56" s="112" t="s">
        <v>539</v>
      </c>
      <c r="J56" s="112" t="s">
        <v>264</v>
      </c>
      <c r="K56" s="124">
        <v>11.4</v>
      </c>
      <c r="L56" s="124">
        <v>2.2999999999999998</v>
      </c>
      <c r="M56" s="124">
        <v>2.8</v>
      </c>
      <c r="N56" s="123">
        <v>5.5</v>
      </c>
      <c r="O56" s="123">
        <v>7.2000000000000997</v>
      </c>
      <c r="P56" s="124">
        <v>-5.7</v>
      </c>
      <c r="Q56" s="122">
        <v>8.8000000000000007</v>
      </c>
      <c r="R56" s="126">
        <v>5.8</v>
      </c>
      <c r="S56" s="122">
        <v>2.4</v>
      </c>
      <c r="T56" s="125">
        <v>1.3</v>
      </c>
      <c r="U56" s="125">
        <v>2.1</v>
      </c>
      <c r="V56" s="139" t="s">
        <v>1071</v>
      </c>
      <c r="W56" s="122"/>
      <c r="X56" s="122"/>
      <c r="Y56" s="122">
        <v>5.9</v>
      </c>
      <c r="Z56" s="125">
        <v>7.5</v>
      </c>
      <c r="AA56" s="139" t="s">
        <v>1069</v>
      </c>
      <c r="AB56" s="121">
        <v>-2</v>
      </c>
      <c r="AC56" s="135" t="s">
        <v>1068</v>
      </c>
      <c r="AD56" s="122"/>
      <c r="AE56" s="122">
        <v>1.6</v>
      </c>
      <c r="AF56" s="139" t="s">
        <v>1069</v>
      </c>
      <c r="AG56" s="121">
        <v>5.7999999999998053</v>
      </c>
      <c r="AH56" s="135" t="s">
        <v>1273</v>
      </c>
      <c r="AI56" s="122" t="s">
        <v>247</v>
      </c>
      <c r="AJ56" s="122">
        <v>6.5999999999997172</v>
      </c>
      <c r="AK56" s="141" t="s">
        <v>247</v>
      </c>
      <c r="AL56" s="554" t="s">
        <v>1380</v>
      </c>
      <c r="AM56" s="558">
        <v>5.9050000000000002</v>
      </c>
      <c r="AN56" s="392"/>
    </row>
    <row r="57" spans="1:40" ht="15.95" customHeight="1">
      <c r="A57" s="119">
        <v>309</v>
      </c>
      <c r="B57" s="107" t="s">
        <v>375</v>
      </c>
      <c r="C57" s="114" t="s">
        <v>96</v>
      </c>
      <c r="D57" s="110" t="s">
        <v>684</v>
      </c>
      <c r="E57" s="109" t="s">
        <v>109</v>
      </c>
      <c r="F57" s="111" t="s">
        <v>9</v>
      </c>
      <c r="G57" s="112" t="s">
        <v>19</v>
      </c>
      <c r="H57" s="112" t="s">
        <v>541</v>
      </c>
      <c r="I57" s="112" t="s">
        <v>54</v>
      </c>
      <c r="J57" s="112" t="s">
        <v>264</v>
      </c>
      <c r="K57" s="124">
        <v>8.5</v>
      </c>
      <c r="L57" s="124">
        <v>1.4</v>
      </c>
      <c r="M57" s="124">
        <v>5</v>
      </c>
      <c r="N57" s="124">
        <v>2.2000000000000002</v>
      </c>
      <c r="O57" s="123">
        <v>4.1999999999999797</v>
      </c>
      <c r="P57" s="124">
        <v>-4.9000000000000004</v>
      </c>
      <c r="Q57" s="122">
        <v>7</v>
      </c>
      <c r="R57" s="126">
        <v>6.7</v>
      </c>
      <c r="S57" s="122">
        <v>1.6</v>
      </c>
      <c r="T57" s="125">
        <v>5.3</v>
      </c>
      <c r="U57" s="126">
        <v>6.4</v>
      </c>
      <c r="V57" s="139" t="s">
        <v>1071</v>
      </c>
      <c r="W57" s="122"/>
      <c r="X57" s="122"/>
      <c r="Y57" s="122">
        <v>5.3</v>
      </c>
      <c r="Z57" s="125">
        <v>6.6</v>
      </c>
      <c r="AA57" s="139" t="s">
        <v>1069</v>
      </c>
      <c r="AB57" s="121">
        <v>-5.9</v>
      </c>
      <c r="AC57" s="135" t="s">
        <v>1068</v>
      </c>
      <c r="AD57" s="122"/>
      <c r="AE57" s="122">
        <v>-1.5</v>
      </c>
      <c r="AF57" s="139" t="s">
        <v>1069</v>
      </c>
      <c r="AG57" s="121">
        <v>2.9000000000003467</v>
      </c>
      <c r="AH57" s="122" t="s">
        <v>247</v>
      </c>
      <c r="AI57" s="122" t="s">
        <v>247</v>
      </c>
      <c r="AJ57" s="122" t="s">
        <v>247</v>
      </c>
      <c r="AK57" s="122" t="s">
        <v>247</v>
      </c>
      <c r="AL57" s="554" t="s">
        <v>1283</v>
      </c>
      <c r="AM57" s="558">
        <v>4.8231999999999999</v>
      </c>
      <c r="AN57" s="392"/>
    </row>
    <row r="58" spans="1:40" ht="15.95" customHeight="1">
      <c r="A58" s="119">
        <v>310</v>
      </c>
      <c r="B58" s="107" t="s">
        <v>1176</v>
      </c>
      <c r="C58" s="114" t="s">
        <v>96</v>
      </c>
      <c r="D58" s="110" t="s">
        <v>571</v>
      </c>
      <c r="E58" s="109" t="s">
        <v>111</v>
      </c>
      <c r="F58" s="111" t="s">
        <v>9</v>
      </c>
      <c r="G58" s="112" t="s">
        <v>10</v>
      </c>
      <c r="H58" s="112" t="s">
        <v>541</v>
      </c>
      <c r="I58" s="112" t="s">
        <v>539</v>
      </c>
      <c r="J58" s="112" t="s">
        <v>270</v>
      </c>
      <c r="K58" s="124">
        <v>11.6</v>
      </c>
      <c r="L58" s="124">
        <v>-0.2</v>
      </c>
      <c r="M58" s="124">
        <v>2</v>
      </c>
      <c r="N58" s="123">
        <v>6.7</v>
      </c>
      <c r="O58" s="123">
        <v>5.2000000000003199</v>
      </c>
      <c r="P58" s="124">
        <v>-7</v>
      </c>
      <c r="Q58" s="122">
        <v>11</v>
      </c>
      <c r="R58" s="126">
        <v>6.6</v>
      </c>
      <c r="S58" s="135" t="s">
        <v>637</v>
      </c>
      <c r="T58" s="122">
        <v>2.10000000000043</v>
      </c>
      <c r="U58" s="139" t="s">
        <v>1068</v>
      </c>
      <c r="V58" s="122"/>
      <c r="W58" s="122">
        <v>3.9</v>
      </c>
      <c r="X58" s="126">
        <v>3.5</v>
      </c>
      <c r="Y58" s="125">
        <v>2.4</v>
      </c>
      <c r="Z58" s="125">
        <v>4.4000000000000004</v>
      </c>
      <c r="AA58" s="139" t="s">
        <v>1069</v>
      </c>
      <c r="AB58" s="121">
        <v>-2.1</v>
      </c>
      <c r="AC58" s="135" t="s">
        <v>1068</v>
      </c>
      <c r="AD58" s="122"/>
      <c r="AE58" s="122">
        <v>6.4</v>
      </c>
      <c r="AF58" s="139" t="s">
        <v>1069</v>
      </c>
      <c r="AG58" s="121">
        <v>11.799999999999145</v>
      </c>
      <c r="AH58" s="135" t="s">
        <v>1383</v>
      </c>
      <c r="AI58" s="122" t="s">
        <v>247</v>
      </c>
      <c r="AJ58" s="122" t="s">
        <v>247</v>
      </c>
      <c r="AK58" s="122">
        <v>9.9999999999997868</v>
      </c>
      <c r="AL58" s="560" t="s">
        <v>1500</v>
      </c>
      <c r="AM58" s="558">
        <v>10.768700000000001</v>
      </c>
      <c r="AN58" s="392"/>
    </row>
    <row r="59" spans="1:40" ht="15.95" customHeight="1">
      <c r="A59" s="119">
        <v>311</v>
      </c>
      <c r="B59" s="107" t="s">
        <v>405</v>
      </c>
      <c r="C59" s="114" t="s">
        <v>96</v>
      </c>
      <c r="D59" s="110" t="s">
        <v>710</v>
      </c>
      <c r="E59" s="109" t="s">
        <v>113</v>
      </c>
      <c r="F59" s="111" t="s">
        <v>9</v>
      </c>
      <c r="G59" s="112" t="s">
        <v>10</v>
      </c>
      <c r="H59" s="112" t="s">
        <v>541</v>
      </c>
      <c r="I59" s="112" t="s">
        <v>539</v>
      </c>
      <c r="J59" s="112" t="s">
        <v>270</v>
      </c>
      <c r="K59" s="123">
        <v>9.4</v>
      </c>
      <c r="L59" s="124">
        <v>-2.7</v>
      </c>
      <c r="M59" s="124">
        <v>2</v>
      </c>
      <c r="N59" s="123">
        <v>4.5999999999999996</v>
      </c>
      <c r="O59" s="123">
        <v>5.1000000000005503</v>
      </c>
      <c r="P59" s="124">
        <v>-7</v>
      </c>
      <c r="Q59" s="122">
        <v>9.4</v>
      </c>
      <c r="R59" s="126">
        <v>4.5</v>
      </c>
      <c r="S59" s="135" t="s">
        <v>637</v>
      </c>
      <c r="T59" s="122">
        <v>2.0000000000006701</v>
      </c>
      <c r="U59" s="139" t="s">
        <v>1068</v>
      </c>
      <c r="V59" s="122"/>
      <c r="W59" s="122">
        <v>0</v>
      </c>
      <c r="X59" s="126">
        <v>1.9</v>
      </c>
      <c r="Y59" s="125">
        <v>-1.2</v>
      </c>
      <c r="Z59" s="125">
        <v>7.9</v>
      </c>
      <c r="AA59" s="139" t="s">
        <v>1070</v>
      </c>
      <c r="AB59" s="122"/>
      <c r="AC59" s="122"/>
      <c r="AD59" s="122"/>
      <c r="AE59" s="122">
        <v>0.5</v>
      </c>
      <c r="AF59" s="139" t="s">
        <v>1382</v>
      </c>
      <c r="AG59" s="122" t="s">
        <v>247</v>
      </c>
      <c r="AH59" s="122" t="s">
        <v>247</v>
      </c>
      <c r="AI59" s="122" t="s">
        <v>247</v>
      </c>
      <c r="AJ59" s="122">
        <v>11.700000000001154</v>
      </c>
      <c r="AK59" s="141">
        <v>5.3999999999998494</v>
      </c>
      <c r="AL59" s="560" t="s">
        <v>1500</v>
      </c>
      <c r="AM59" s="558">
        <v>10.1693</v>
      </c>
      <c r="AN59" s="392"/>
    </row>
    <row r="60" spans="1:40" ht="15.95" customHeight="1">
      <c r="A60" s="119">
        <v>312</v>
      </c>
      <c r="B60" s="107" t="s">
        <v>436</v>
      </c>
      <c r="C60" s="114" t="s">
        <v>96</v>
      </c>
      <c r="D60" s="110" t="s">
        <v>559</v>
      </c>
      <c r="E60" s="109" t="s">
        <v>114</v>
      </c>
      <c r="F60" s="111" t="s">
        <v>9</v>
      </c>
      <c r="G60" s="112" t="s">
        <v>10</v>
      </c>
      <c r="H60" s="112" t="s">
        <v>541</v>
      </c>
      <c r="I60" s="112" t="s">
        <v>722</v>
      </c>
      <c r="J60" s="112" t="s">
        <v>270</v>
      </c>
      <c r="K60" s="123">
        <v>10.8</v>
      </c>
      <c r="L60" s="124">
        <v>-1.8</v>
      </c>
      <c r="M60" s="124">
        <v>-0.2</v>
      </c>
      <c r="N60" s="123">
        <v>7.8</v>
      </c>
      <c r="O60" s="123">
        <v>2.9000000000003499</v>
      </c>
      <c r="P60" s="124">
        <v>-6.6</v>
      </c>
      <c r="Q60" s="122">
        <v>12.4</v>
      </c>
      <c r="R60" s="126">
        <v>5.3</v>
      </c>
      <c r="S60" s="139" t="s">
        <v>1068</v>
      </c>
      <c r="T60" s="122"/>
      <c r="U60" s="121">
        <v>5.2</v>
      </c>
      <c r="V60" s="125">
        <v>5.0999999999999996</v>
      </c>
      <c r="W60" s="139" t="s">
        <v>1070</v>
      </c>
      <c r="X60" s="122"/>
      <c r="Y60" s="122"/>
      <c r="Z60" s="122"/>
      <c r="AA60" s="122">
        <v>8.5</v>
      </c>
      <c r="AB60" s="139" t="s">
        <v>1070</v>
      </c>
      <c r="AC60" s="122"/>
      <c r="AD60" s="122"/>
      <c r="AE60" s="122"/>
      <c r="AF60" s="122">
        <v>-0.50000000000061107</v>
      </c>
      <c r="AG60" s="139" t="s">
        <v>1382</v>
      </c>
      <c r="AH60" s="122" t="s">
        <v>247</v>
      </c>
      <c r="AI60" s="122" t="s">
        <v>247</v>
      </c>
      <c r="AJ60" s="122" t="s">
        <v>247</v>
      </c>
      <c r="AK60" s="122">
        <v>9.700000000000486</v>
      </c>
      <c r="AL60" s="554" t="s">
        <v>1500</v>
      </c>
      <c r="AM60" s="555">
        <v>11.8337</v>
      </c>
      <c r="AN60" s="392"/>
    </row>
    <row r="61" spans="1:40" ht="15.95" customHeight="1">
      <c r="A61" s="119">
        <v>313</v>
      </c>
      <c r="B61" s="107" t="s">
        <v>407</v>
      </c>
      <c r="C61" s="114" t="s">
        <v>96</v>
      </c>
      <c r="D61" s="110" t="s">
        <v>700</v>
      </c>
      <c r="E61" s="109" t="s">
        <v>116</v>
      </c>
      <c r="F61" s="111" t="s">
        <v>9</v>
      </c>
      <c r="G61" s="112" t="s">
        <v>10</v>
      </c>
      <c r="H61" s="112" t="s">
        <v>541</v>
      </c>
      <c r="I61" s="112" t="s">
        <v>54</v>
      </c>
      <c r="J61" s="112" t="s">
        <v>270</v>
      </c>
      <c r="K61" s="136" t="s">
        <v>685</v>
      </c>
      <c r="L61" s="122"/>
      <c r="M61" s="122"/>
      <c r="N61" s="122"/>
      <c r="O61" s="122"/>
      <c r="P61" s="122">
        <v>33.5</v>
      </c>
      <c r="Q61" s="139" t="s">
        <v>1070</v>
      </c>
      <c r="R61" s="122"/>
      <c r="S61" s="122"/>
      <c r="T61" s="122"/>
      <c r="U61" s="121">
        <v>47.5</v>
      </c>
      <c r="V61" s="126">
        <v>13.3</v>
      </c>
      <c r="W61" s="135" t="s">
        <v>637</v>
      </c>
      <c r="X61" s="122">
        <v>40.6</v>
      </c>
      <c r="Y61" s="126">
        <v>16.2</v>
      </c>
      <c r="Z61" s="139" t="s">
        <v>525</v>
      </c>
      <c r="AA61" s="122"/>
      <c r="AB61" s="121">
        <v>15.6</v>
      </c>
      <c r="AC61" s="139" t="s">
        <v>1070</v>
      </c>
      <c r="AD61" s="122"/>
      <c r="AE61" s="122"/>
      <c r="AF61" s="122" t="s">
        <v>247</v>
      </c>
      <c r="AG61" s="121">
        <v>35.300000000000331</v>
      </c>
      <c r="AH61" s="135" t="s">
        <v>1273</v>
      </c>
      <c r="AI61" s="122" t="s">
        <v>247</v>
      </c>
      <c r="AJ61" s="121">
        <v>15.500000000000291</v>
      </c>
      <c r="AK61" s="122" t="s">
        <v>247</v>
      </c>
      <c r="AL61" s="554" t="s">
        <v>1380</v>
      </c>
      <c r="AM61" s="555">
        <v>6.2317999999999998</v>
      </c>
      <c r="AN61" s="392"/>
    </row>
    <row r="62" spans="1:40" s="231" customFormat="1" ht="15.95" customHeight="1">
      <c r="A62" s="214">
        <v>314</v>
      </c>
      <c r="B62" s="215" t="s">
        <v>437</v>
      </c>
      <c r="C62" s="216" t="s">
        <v>96</v>
      </c>
      <c r="D62" s="217" t="s">
        <v>638</v>
      </c>
      <c r="E62" s="218" t="s">
        <v>299</v>
      </c>
      <c r="F62" s="219" t="s">
        <v>9</v>
      </c>
      <c r="G62" s="220" t="s">
        <v>31</v>
      </c>
      <c r="H62" s="220" t="s">
        <v>541</v>
      </c>
      <c r="I62" s="220" t="s">
        <v>54</v>
      </c>
      <c r="J62" s="220" t="s">
        <v>270</v>
      </c>
      <c r="K62" s="224" t="s">
        <v>247</v>
      </c>
      <c r="L62" s="228"/>
      <c r="M62" s="228"/>
      <c r="N62" s="228"/>
      <c r="O62" s="228"/>
      <c r="P62" s="232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625"/>
      <c r="AK62" s="228" t="s">
        <v>247</v>
      </c>
      <c r="AL62" s="561" t="s">
        <v>544</v>
      </c>
      <c r="AM62" s="562" t="s">
        <v>544</v>
      </c>
      <c r="AN62" s="393" t="s">
        <v>723</v>
      </c>
    </row>
    <row r="63" spans="1:40" ht="15.95" customHeight="1">
      <c r="A63" s="119">
        <v>315</v>
      </c>
      <c r="B63" s="107" t="s">
        <v>439</v>
      </c>
      <c r="C63" s="114" t="s">
        <v>96</v>
      </c>
      <c r="D63" s="110" t="s">
        <v>1357</v>
      </c>
      <c r="E63" s="109" t="s">
        <v>299</v>
      </c>
      <c r="F63" s="111" t="s">
        <v>9</v>
      </c>
      <c r="G63" s="112" t="s">
        <v>31</v>
      </c>
      <c r="H63" s="112" t="s">
        <v>64</v>
      </c>
      <c r="I63" s="112" t="s">
        <v>539</v>
      </c>
      <c r="J63" s="112" t="s">
        <v>270</v>
      </c>
      <c r="K63" s="136" t="s">
        <v>685</v>
      </c>
      <c r="L63" s="122"/>
      <c r="M63" s="122"/>
      <c r="N63" s="122"/>
      <c r="O63" s="122"/>
      <c r="P63" s="121">
        <v>16.7</v>
      </c>
      <c r="Q63" s="139" t="s">
        <v>1070</v>
      </c>
      <c r="R63" s="122"/>
      <c r="S63" s="122"/>
      <c r="T63" s="122"/>
      <c r="U63" s="121">
        <v>22.3</v>
      </c>
      <c r="V63" s="122">
        <v>2.5</v>
      </c>
      <c r="W63" s="125">
        <v>-0.6</v>
      </c>
      <c r="X63" s="125">
        <v>4.7</v>
      </c>
      <c r="Y63" s="139" t="s">
        <v>526</v>
      </c>
      <c r="Z63" s="122"/>
      <c r="AA63" s="122"/>
      <c r="AB63" s="121">
        <v>1.8</v>
      </c>
      <c r="AC63" s="139" t="s">
        <v>1070</v>
      </c>
      <c r="AD63" s="122"/>
      <c r="AE63" s="122"/>
      <c r="AF63" s="122" t="s">
        <v>247</v>
      </c>
      <c r="AG63" s="121">
        <v>14.000000000000234</v>
      </c>
      <c r="AH63" s="122" t="s">
        <v>247</v>
      </c>
      <c r="AI63" s="122" t="s">
        <v>247</v>
      </c>
      <c r="AJ63" s="624" t="s">
        <v>247</v>
      </c>
      <c r="AK63" s="122" t="s">
        <v>247</v>
      </c>
      <c r="AL63" s="554" t="s">
        <v>1283</v>
      </c>
      <c r="AM63" s="555">
        <v>4.1002999999999998</v>
      </c>
      <c r="AN63" s="392"/>
    </row>
    <row r="64" spans="1:40" ht="15.95" customHeight="1">
      <c r="A64" s="119">
        <v>316</v>
      </c>
      <c r="B64" s="107" t="s">
        <v>441</v>
      </c>
      <c r="C64" s="114" t="s">
        <v>96</v>
      </c>
      <c r="D64" s="110" t="s">
        <v>1357</v>
      </c>
      <c r="E64" s="109" t="s">
        <v>1417</v>
      </c>
      <c r="F64" s="111" t="s">
        <v>9</v>
      </c>
      <c r="G64" s="112" t="s">
        <v>31</v>
      </c>
      <c r="H64" s="112" t="s">
        <v>64</v>
      </c>
      <c r="I64" s="112" t="s">
        <v>539</v>
      </c>
      <c r="J64" s="112" t="s">
        <v>270</v>
      </c>
      <c r="K64" s="138" t="s">
        <v>260</v>
      </c>
      <c r="L64" s="122"/>
      <c r="M64" s="122"/>
      <c r="N64" s="122"/>
      <c r="O64" s="122"/>
      <c r="P64" s="140" t="s">
        <v>256</v>
      </c>
      <c r="Q64" s="139" t="s">
        <v>1070</v>
      </c>
      <c r="R64" s="122"/>
      <c r="S64" s="122"/>
      <c r="T64" s="122"/>
      <c r="U64" s="121">
        <v>24.8</v>
      </c>
      <c r="V64" s="122">
        <v>5.3</v>
      </c>
      <c r="W64" s="125">
        <v>-1.8</v>
      </c>
      <c r="X64" s="139" t="s">
        <v>527</v>
      </c>
      <c r="Y64" s="122"/>
      <c r="Z64" s="122"/>
      <c r="AA64" s="122"/>
      <c r="AB64" s="121">
        <v>2.8</v>
      </c>
      <c r="AC64" s="139" t="s">
        <v>1070</v>
      </c>
      <c r="AD64" s="122"/>
      <c r="AE64" s="122"/>
      <c r="AF64" s="122" t="s">
        <v>247</v>
      </c>
      <c r="AG64" s="121">
        <v>21.900000000000475</v>
      </c>
      <c r="AH64" s="122" t="s">
        <v>247</v>
      </c>
      <c r="AI64" s="122" t="s">
        <v>247</v>
      </c>
      <c r="AJ64" s="624" t="s">
        <v>247</v>
      </c>
      <c r="AK64" s="122" t="s">
        <v>247</v>
      </c>
      <c r="AL64" s="554" t="s">
        <v>1283</v>
      </c>
      <c r="AM64" s="555">
        <v>4.4231999999999996</v>
      </c>
      <c r="AN64" s="392"/>
    </row>
    <row r="65" spans="1:40" s="231" customFormat="1" ht="15.95" customHeight="1">
      <c r="A65" s="214">
        <v>317</v>
      </c>
      <c r="B65" s="215" t="s">
        <v>442</v>
      </c>
      <c r="C65" s="216" t="s">
        <v>96</v>
      </c>
      <c r="D65" s="217" t="s">
        <v>572</v>
      </c>
      <c r="E65" s="218" t="s">
        <v>119</v>
      </c>
      <c r="F65" s="219" t="s">
        <v>12</v>
      </c>
      <c r="G65" s="220" t="s">
        <v>10</v>
      </c>
      <c r="H65" s="220" t="s">
        <v>541</v>
      </c>
      <c r="I65" s="220" t="s">
        <v>539</v>
      </c>
      <c r="J65" s="220" t="s">
        <v>270</v>
      </c>
      <c r="K65" s="233" t="s">
        <v>525</v>
      </c>
      <c r="L65" s="228"/>
      <c r="M65" s="229">
        <v>10.4</v>
      </c>
      <c r="N65" s="232" t="s">
        <v>525</v>
      </c>
      <c r="O65" s="228"/>
      <c r="P65" s="229">
        <v>16.2</v>
      </c>
      <c r="Q65" s="227" t="s">
        <v>1070</v>
      </c>
      <c r="R65" s="228"/>
      <c r="S65" s="228"/>
      <c r="T65" s="228"/>
      <c r="U65" s="229">
        <v>31.5</v>
      </c>
      <c r="V65" s="225">
        <v>6</v>
      </c>
      <c r="W65" s="225"/>
      <c r="X65" s="228"/>
      <c r="Y65" s="228"/>
      <c r="Z65" s="228"/>
      <c r="AA65" s="228"/>
      <c r="AB65" s="232"/>
      <c r="AC65" s="228"/>
      <c r="AD65" s="228"/>
      <c r="AE65" s="228"/>
      <c r="AF65" s="228"/>
      <c r="AG65" s="228"/>
      <c r="AH65" s="228"/>
      <c r="AI65" s="228"/>
      <c r="AJ65" s="625"/>
      <c r="AK65" s="228" t="s">
        <v>247</v>
      </c>
      <c r="AL65" s="556" t="s">
        <v>554</v>
      </c>
      <c r="AM65" s="557">
        <v>11.1305</v>
      </c>
      <c r="AN65" s="393" t="s">
        <v>524</v>
      </c>
    </row>
    <row r="66" spans="1:40" s="231" customFormat="1" ht="15.95" customHeight="1">
      <c r="A66" s="214">
        <v>318</v>
      </c>
      <c r="B66" s="215" t="s">
        <v>443</v>
      </c>
      <c r="C66" s="216" t="s">
        <v>96</v>
      </c>
      <c r="D66" s="217" t="s">
        <v>1357</v>
      </c>
      <c r="E66" s="218" t="s">
        <v>299</v>
      </c>
      <c r="F66" s="219" t="s">
        <v>12</v>
      </c>
      <c r="G66" s="220" t="s">
        <v>10</v>
      </c>
      <c r="H66" s="220" t="s">
        <v>64</v>
      </c>
      <c r="I66" s="220" t="s">
        <v>539</v>
      </c>
      <c r="J66" s="220" t="s">
        <v>270</v>
      </c>
      <c r="K66" s="224"/>
      <c r="L66" s="228"/>
      <c r="M66" s="228"/>
      <c r="N66" s="228"/>
      <c r="O66" s="228"/>
      <c r="P66" s="232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32"/>
      <c r="AC66" s="228"/>
      <c r="AD66" s="228"/>
      <c r="AE66" s="228"/>
      <c r="AF66" s="228"/>
      <c r="AG66" s="228"/>
      <c r="AH66" s="228"/>
      <c r="AI66" s="228"/>
      <c r="AJ66" s="625"/>
      <c r="AK66" s="228" t="s">
        <v>247</v>
      </c>
      <c r="AL66" s="561" t="s">
        <v>544</v>
      </c>
      <c r="AM66" s="562" t="s">
        <v>544</v>
      </c>
      <c r="AN66" s="393" t="s">
        <v>724</v>
      </c>
    </row>
    <row r="67" spans="1:40" ht="15.95" customHeight="1">
      <c r="A67" s="119">
        <v>319</v>
      </c>
      <c r="B67" s="107" t="s">
        <v>444</v>
      </c>
      <c r="C67" s="114" t="s">
        <v>96</v>
      </c>
      <c r="D67" s="110" t="s">
        <v>1357</v>
      </c>
      <c r="E67" s="109" t="s">
        <v>299</v>
      </c>
      <c r="F67" s="111" t="s">
        <v>12</v>
      </c>
      <c r="G67" s="112" t="s">
        <v>31</v>
      </c>
      <c r="H67" s="112" t="s">
        <v>64</v>
      </c>
      <c r="I67" s="112" t="s">
        <v>539</v>
      </c>
      <c r="J67" s="112" t="s">
        <v>270</v>
      </c>
      <c r="K67" s="136" t="s">
        <v>685</v>
      </c>
      <c r="L67" s="122"/>
      <c r="M67" s="122"/>
      <c r="N67" s="122"/>
      <c r="O67" s="122"/>
      <c r="P67" s="122">
        <v>24.7</v>
      </c>
      <c r="Q67" s="139" t="s">
        <v>1072</v>
      </c>
      <c r="R67" s="122"/>
      <c r="S67" s="122"/>
      <c r="T67" s="122"/>
      <c r="U67" s="122"/>
      <c r="V67" s="122">
        <v>39.799999999999997</v>
      </c>
      <c r="W67" s="125">
        <v>-0.2</v>
      </c>
      <c r="X67" s="139" t="s">
        <v>527</v>
      </c>
      <c r="Y67" s="122"/>
      <c r="Z67" s="122"/>
      <c r="AA67" s="122"/>
      <c r="AB67" s="121">
        <v>14.9</v>
      </c>
      <c r="AC67" s="139" t="s">
        <v>1070</v>
      </c>
      <c r="AD67" s="122"/>
      <c r="AE67" s="122"/>
      <c r="AF67" s="122" t="s">
        <v>247</v>
      </c>
      <c r="AG67" s="121">
        <v>20.599999999999952</v>
      </c>
      <c r="AH67" s="135" t="s">
        <v>1273</v>
      </c>
      <c r="AI67" s="122" t="s">
        <v>247</v>
      </c>
      <c r="AJ67" s="122">
        <v>8.6999999999992639</v>
      </c>
      <c r="AK67" s="141" t="s">
        <v>247</v>
      </c>
      <c r="AL67" s="554" t="s">
        <v>1380</v>
      </c>
      <c r="AM67" s="555">
        <v>9.3406000000000002</v>
      </c>
      <c r="AN67" s="392"/>
    </row>
    <row r="68" spans="1:40" s="231" customFormat="1" ht="15.95" customHeight="1">
      <c r="A68" s="214">
        <v>320</v>
      </c>
      <c r="B68" s="215" t="s">
        <v>445</v>
      </c>
      <c r="C68" s="216" t="s">
        <v>96</v>
      </c>
      <c r="D68" s="217" t="s">
        <v>1359</v>
      </c>
      <c r="E68" s="218" t="s">
        <v>123</v>
      </c>
      <c r="F68" s="219" t="s">
        <v>9</v>
      </c>
      <c r="G68" s="220" t="s">
        <v>10</v>
      </c>
      <c r="H68" s="220" t="s">
        <v>64</v>
      </c>
      <c r="I68" s="220" t="s">
        <v>539</v>
      </c>
      <c r="J68" s="220" t="s">
        <v>270</v>
      </c>
      <c r="K68" s="224"/>
      <c r="L68" s="228"/>
      <c r="M68" s="228"/>
      <c r="N68" s="228"/>
      <c r="O68" s="228"/>
      <c r="P68" s="228"/>
      <c r="Q68" s="232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625"/>
      <c r="AK68" s="228" t="s">
        <v>247</v>
      </c>
      <c r="AL68" s="561" t="s">
        <v>544</v>
      </c>
      <c r="AM68" s="562" t="s">
        <v>544</v>
      </c>
      <c r="AN68" s="393" t="s">
        <v>261</v>
      </c>
    </row>
    <row r="69" spans="1:40" ht="15.95" customHeight="1">
      <c r="A69" s="119">
        <v>321</v>
      </c>
      <c r="B69" s="107" t="s">
        <v>447</v>
      </c>
      <c r="C69" s="114" t="s">
        <v>96</v>
      </c>
      <c r="D69" s="110" t="s">
        <v>1359</v>
      </c>
      <c r="E69" s="109" t="s">
        <v>125</v>
      </c>
      <c r="F69" s="111" t="s">
        <v>9</v>
      </c>
      <c r="G69" s="112" t="s">
        <v>31</v>
      </c>
      <c r="H69" s="112" t="s">
        <v>64</v>
      </c>
      <c r="I69" s="112" t="s">
        <v>539</v>
      </c>
      <c r="J69" s="112" t="s">
        <v>270</v>
      </c>
      <c r="K69" s="123">
        <v>10.4</v>
      </c>
      <c r="L69" s="128">
        <v>-4.3</v>
      </c>
      <c r="M69" s="128">
        <v>2.8</v>
      </c>
      <c r="N69" s="123">
        <v>5.5</v>
      </c>
      <c r="O69" s="123">
        <v>3.9999999999995599</v>
      </c>
      <c r="P69" s="128">
        <v>-6.2</v>
      </c>
      <c r="Q69" s="122">
        <v>9.4</v>
      </c>
      <c r="R69" s="126">
        <v>5.0999999999999996</v>
      </c>
      <c r="S69" s="135" t="s">
        <v>637</v>
      </c>
      <c r="T69" s="122">
        <v>2.10000000000043</v>
      </c>
      <c r="U69" s="139" t="s">
        <v>1068</v>
      </c>
      <c r="V69" s="122"/>
      <c r="W69" s="121">
        <v>0.9</v>
      </c>
      <c r="X69" s="126">
        <v>3.6</v>
      </c>
      <c r="Y69" s="135" t="s">
        <v>1069</v>
      </c>
      <c r="Z69" s="122">
        <v>6</v>
      </c>
      <c r="AA69" s="139" t="s">
        <v>1070</v>
      </c>
      <c r="AB69" s="122"/>
      <c r="AC69" s="122"/>
      <c r="AD69" s="122"/>
      <c r="AE69" s="122">
        <v>2.7</v>
      </c>
      <c r="AF69" s="139" t="s">
        <v>1505</v>
      </c>
      <c r="AG69" s="122" t="s">
        <v>247</v>
      </c>
      <c r="AH69" s="122" t="s">
        <v>247</v>
      </c>
      <c r="AI69" s="122" t="s">
        <v>247</v>
      </c>
      <c r="AJ69" s="624" t="s">
        <v>247</v>
      </c>
      <c r="AK69" s="122">
        <v>14.599999999999724</v>
      </c>
      <c r="AL69" s="560" t="s">
        <v>1500</v>
      </c>
      <c r="AM69" s="558">
        <v>8.1942000000000004</v>
      </c>
      <c r="AN69" s="392"/>
    </row>
    <row r="70" spans="1:40" ht="15.95" customHeight="1">
      <c r="A70" s="119">
        <v>322</v>
      </c>
      <c r="B70" s="107" t="s">
        <v>449</v>
      </c>
      <c r="C70" s="114" t="s">
        <v>96</v>
      </c>
      <c r="D70" s="110" t="s">
        <v>657</v>
      </c>
      <c r="E70" s="109" t="s">
        <v>126</v>
      </c>
      <c r="F70" s="111" t="s">
        <v>9</v>
      </c>
      <c r="G70" s="112" t="s">
        <v>127</v>
      </c>
      <c r="H70" s="112" t="s">
        <v>542</v>
      </c>
      <c r="I70" s="112" t="s">
        <v>54</v>
      </c>
      <c r="J70" s="112" t="s">
        <v>270</v>
      </c>
      <c r="K70" s="136" t="s">
        <v>695</v>
      </c>
      <c r="L70" s="122"/>
      <c r="M70" s="122"/>
      <c r="N70" s="122"/>
      <c r="O70" s="122"/>
      <c r="P70" s="122"/>
      <c r="Q70" s="122">
        <v>86.5</v>
      </c>
      <c r="R70" s="139" t="s">
        <v>1071</v>
      </c>
      <c r="S70" s="122"/>
      <c r="T70" s="122"/>
      <c r="U70" s="121">
        <v>36.200000000000003</v>
      </c>
      <c r="V70" s="122">
        <v>14.4</v>
      </c>
      <c r="W70" s="126">
        <v>0.5</v>
      </c>
      <c r="X70" s="126">
        <v>5.3</v>
      </c>
      <c r="Y70" s="135" t="s">
        <v>1069</v>
      </c>
      <c r="Z70" s="122">
        <v>14.9</v>
      </c>
      <c r="AA70" s="139" t="s">
        <v>1069</v>
      </c>
      <c r="AB70" s="121">
        <v>13.1</v>
      </c>
      <c r="AC70" s="135" t="s">
        <v>1068</v>
      </c>
      <c r="AD70" s="122"/>
      <c r="AE70" s="122">
        <v>13.9</v>
      </c>
      <c r="AF70" s="139" t="s">
        <v>1069</v>
      </c>
      <c r="AG70" s="121">
        <v>18.799999999999706</v>
      </c>
      <c r="AH70" s="135" t="s">
        <v>1383</v>
      </c>
      <c r="AI70" s="122" t="s">
        <v>247</v>
      </c>
      <c r="AJ70" s="624" t="s">
        <v>247</v>
      </c>
      <c r="AK70" s="122">
        <v>22.20000000000022</v>
      </c>
      <c r="AL70" s="554" t="s">
        <v>1500</v>
      </c>
      <c r="AM70" s="555">
        <v>3.5131999999999999</v>
      </c>
      <c r="AN70" s="392"/>
    </row>
    <row r="71" spans="1:40" ht="15.95" customHeight="1">
      <c r="A71" s="119">
        <v>323</v>
      </c>
      <c r="B71" s="107" t="s">
        <v>451</v>
      </c>
      <c r="C71" s="114" t="s">
        <v>96</v>
      </c>
      <c r="D71" s="110" t="s">
        <v>658</v>
      </c>
      <c r="E71" s="109" t="s">
        <v>299</v>
      </c>
      <c r="F71" s="111" t="s">
        <v>9</v>
      </c>
      <c r="G71" s="112" t="s">
        <v>31</v>
      </c>
      <c r="H71" s="112" t="s">
        <v>541</v>
      </c>
      <c r="I71" s="112" t="s">
        <v>539</v>
      </c>
      <c r="J71" s="112" t="s">
        <v>270</v>
      </c>
      <c r="K71" s="136" t="s">
        <v>695</v>
      </c>
      <c r="L71" s="122"/>
      <c r="M71" s="122"/>
      <c r="N71" s="122"/>
      <c r="O71" s="122"/>
      <c r="P71" s="122"/>
      <c r="Q71" s="122">
        <v>16.7</v>
      </c>
      <c r="R71" s="139" t="s">
        <v>1071</v>
      </c>
      <c r="S71" s="122"/>
      <c r="T71" s="122"/>
      <c r="U71" s="121">
        <v>4.8</v>
      </c>
      <c r="V71" s="122">
        <v>4.8</v>
      </c>
      <c r="W71" s="126">
        <v>-2.2999999999999998</v>
      </c>
      <c r="X71" s="126">
        <v>2.9</v>
      </c>
      <c r="Y71" s="135" t="s">
        <v>1069</v>
      </c>
      <c r="Z71" s="122">
        <v>3.6</v>
      </c>
      <c r="AA71" s="139" t="s">
        <v>1069</v>
      </c>
      <c r="AB71" s="121">
        <v>1.4</v>
      </c>
      <c r="AC71" s="135" t="s">
        <v>1068</v>
      </c>
      <c r="AD71" s="122"/>
      <c r="AE71" s="122">
        <v>3.6</v>
      </c>
      <c r="AF71" s="139" t="s">
        <v>1069</v>
      </c>
      <c r="AG71" s="121">
        <v>7.1999999999996511</v>
      </c>
      <c r="AH71" s="122" t="s">
        <v>247</v>
      </c>
      <c r="AI71" s="122" t="s">
        <v>247</v>
      </c>
      <c r="AJ71" s="624" t="s">
        <v>247</v>
      </c>
      <c r="AK71" s="122" t="s">
        <v>247</v>
      </c>
      <c r="AL71" s="554" t="s">
        <v>1283</v>
      </c>
      <c r="AM71" s="555">
        <v>3.3675000000000002</v>
      </c>
      <c r="AN71" s="392"/>
    </row>
    <row r="72" spans="1:40" ht="15.95" customHeight="1">
      <c r="A72" s="119">
        <v>324</v>
      </c>
      <c r="B72" s="107" t="s">
        <v>452</v>
      </c>
      <c r="C72" s="114" t="s">
        <v>96</v>
      </c>
      <c r="D72" s="110" t="s">
        <v>1360</v>
      </c>
      <c r="E72" s="109" t="s">
        <v>1418</v>
      </c>
      <c r="F72" s="111" t="s">
        <v>9</v>
      </c>
      <c r="G72" s="112" t="s">
        <v>31</v>
      </c>
      <c r="H72" s="112" t="s">
        <v>64</v>
      </c>
      <c r="I72" s="112" t="s">
        <v>54</v>
      </c>
      <c r="J72" s="112" t="s">
        <v>270</v>
      </c>
      <c r="K72" s="136" t="s">
        <v>695</v>
      </c>
      <c r="L72" s="122"/>
      <c r="M72" s="122"/>
      <c r="N72" s="122"/>
      <c r="O72" s="122"/>
      <c r="P72" s="122"/>
      <c r="Q72" s="122">
        <v>100.5</v>
      </c>
      <c r="R72" s="139" t="s">
        <v>1071</v>
      </c>
      <c r="S72" s="122"/>
      <c r="T72" s="122"/>
      <c r="U72" s="121">
        <v>23.9</v>
      </c>
      <c r="V72" s="122">
        <v>19.600000000000001</v>
      </c>
      <c r="W72" s="126">
        <v>0.6</v>
      </c>
      <c r="X72" s="126">
        <v>5</v>
      </c>
      <c r="Y72" s="135" t="s">
        <v>1069</v>
      </c>
      <c r="Z72" s="122">
        <v>-9.9</v>
      </c>
      <c r="AA72" s="139" t="s">
        <v>1069</v>
      </c>
      <c r="AB72" s="121">
        <v>7.9</v>
      </c>
      <c r="AC72" s="135" t="s">
        <v>1068</v>
      </c>
      <c r="AD72" s="122"/>
      <c r="AE72" s="122">
        <v>2.2999999999999998</v>
      </c>
      <c r="AF72" s="139" t="s">
        <v>1069</v>
      </c>
      <c r="AG72" s="121">
        <v>13.700000000000045</v>
      </c>
      <c r="AH72" s="122" t="s">
        <v>247</v>
      </c>
      <c r="AI72" s="122" t="s">
        <v>247</v>
      </c>
      <c r="AJ72" s="624" t="s">
        <v>247</v>
      </c>
      <c r="AK72" s="122" t="s">
        <v>247</v>
      </c>
      <c r="AL72" s="554" t="s">
        <v>1283</v>
      </c>
      <c r="AM72" s="555">
        <v>4.9245000000000001</v>
      </c>
      <c r="AN72" s="392"/>
    </row>
    <row r="73" spans="1:40" ht="15.95" customHeight="1">
      <c r="A73" s="119">
        <v>325</v>
      </c>
      <c r="B73" s="107" t="s">
        <v>454</v>
      </c>
      <c r="C73" s="114" t="s">
        <v>96</v>
      </c>
      <c r="D73" s="110" t="s">
        <v>1360</v>
      </c>
      <c r="E73" s="109" t="s">
        <v>130</v>
      </c>
      <c r="F73" s="111" t="s">
        <v>9</v>
      </c>
      <c r="G73" s="112" t="s">
        <v>31</v>
      </c>
      <c r="H73" s="112" t="s">
        <v>64</v>
      </c>
      <c r="I73" s="112" t="s">
        <v>539</v>
      </c>
      <c r="J73" s="112" t="s">
        <v>270</v>
      </c>
      <c r="K73" s="136" t="s">
        <v>695</v>
      </c>
      <c r="L73" s="122"/>
      <c r="M73" s="122"/>
      <c r="N73" s="122"/>
      <c r="O73" s="122"/>
      <c r="P73" s="122"/>
      <c r="Q73" s="122">
        <v>12.2</v>
      </c>
      <c r="R73" s="139" t="s">
        <v>1071</v>
      </c>
      <c r="S73" s="122"/>
      <c r="T73" s="122"/>
      <c r="U73" s="121">
        <v>0.2</v>
      </c>
      <c r="V73" s="122">
        <v>1.5</v>
      </c>
      <c r="W73" s="126">
        <v>0.3</v>
      </c>
      <c r="X73" s="126">
        <v>5.9</v>
      </c>
      <c r="Y73" s="135" t="s">
        <v>1069</v>
      </c>
      <c r="Z73" s="122">
        <v>-0.8</v>
      </c>
      <c r="AA73" s="139" t="s">
        <v>1069</v>
      </c>
      <c r="AB73" s="121">
        <v>1.4</v>
      </c>
      <c r="AC73" s="135" t="s">
        <v>1068</v>
      </c>
      <c r="AD73" s="122"/>
      <c r="AE73" s="122">
        <v>4.4000000000000004</v>
      </c>
      <c r="AF73" s="139" t="s">
        <v>1069</v>
      </c>
      <c r="AG73" s="121">
        <v>5.6000000000002714</v>
      </c>
      <c r="AH73" s="122" t="s">
        <v>247</v>
      </c>
      <c r="AI73" s="122" t="s">
        <v>247</v>
      </c>
      <c r="AJ73" s="624" t="s">
        <v>247</v>
      </c>
      <c r="AK73" s="122" t="s">
        <v>247</v>
      </c>
      <c r="AL73" s="554" t="s">
        <v>1283</v>
      </c>
      <c r="AM73" s="555">
        <v>4.7450000000000001</v>
      </c>
      <c r="AN73" s="392"/>
    </row>
    <row r="74" spans="1:40" ht="15.95" customHeight="1">
      <c r="A74" s="119">
        <v>326</v>
      </c>
      <c r="B74" s="107" t="s">
        <v>456</v>
      </c>
      <c r="C74" s="114" t="s">
        <v>96</v>
      </c>
      <c r="D74" s="110" t="s">
        <v>1360</v>
      </c>
      <c r="E74" s="109" t="s">
        <v>131</v>
      </c>
      <c r="F74" s="111" t="s">
        <v>9</v>
      </c>
      <c r="G74" s="112" t="s">
        <v>31</v>
      </c>
      <c r="H74" s="112" t="s">
        <v>64</v>
      </c>
      <c r="I74" s="112" t="s">
        <v>54</v>
      </c>
      <c r="J74" s="112" t="s">
        <v>270</v>
      </c>
      <c r="K74" s="136" t="s">
        <v>695</v>
      </c>
      <c r="L74" s="122"/>
      <c r="M74" s="122"/>
      <c r="N74" s="122"/>
      <c r="O74" s="122"/>
      <c r="P74" s="122"/>
      <c r="Q74" s="122">
        <v>17.899999999999999</v>
      </c>
      <c r="R74" s="139" t="s">
        <v>1071</v>
      </c>
      <c r="S74" s="122"/>
      <c r="T74" s="122"/>
      <c r="U74" s="121">
        <v>2.4</v>
      </c>
      <c r="V74" s="122">
        <v>1.6</v>
      </c>
      <c r="W74" s="126">
        <v>-0.6</v>
      </c>
      <c r="X74" s="121">
        <v>7</v>
      </c>
      <c r="Y74" s="135" t="s">
        <v>1069</v>
      </c>
      <c r="Z74" s="122">
        <v>-0.2</v>
      </c>
      <c r="AA74" s="139" t="s">
        <v>1069</v>
      </c>
      <c r="AB74" s="121">
        <v>0.1</v>
      </c>
      <c r="AC74" s="135" t="s">
        <v>1068</v>
      </c>
      <c r="AD74" s="122"/>
      <c r="AE74" s="122">
        <v>4.9000000000000004</v>
      </c>
      <c r="AF74" s="139" t="s">
        <v>1069</v>
      </c>
      <c r="AG74" s="121">
        <v>5.1000000000005485</v>
      </c>
      <c r="AH74" s="122" t="s">
        <v>247</v>
      </c>
      <c r="AI74" s="122" t="s">
        <v>247</v>
      </c>
      <c r="AJ74" s="624" t="s">
        <v>247</v>
      </c>
      <c r="AK74" s="122" t="s">
        <v>247</v>
      </c>
      <c r="AL74" s="554" t="s">
        <v>1283</v>
      </c>
      <c r="AM74" s="555">
        <v>4.1571999999999996</v>
      </c>
      <c r="AN74" s="392"/>
    </row>
    <row r="75" spans="1:40" s="231" customFormat="1" ht="15.95" customHeight="1">
      <c r="A75" s="214">
        <v>327</v>
      </c>
      <c r="B75" s="215" t="s">
        <v>457</v>
      </c>
      <c r="C75" s="216" t="s">
        <v>96</v>
      </c>
      <c r="D75" s="217" t="s">
        <v>1360</v>
      </c>
      <c r="E75" s="218" t="s">
        <v>299</v>
      </c>
      <c r="F75" s="219" t="s">
        <v>9</v>
      </c>
      <c r="G75" s="220" t="s">
        <v>31</v>
      </c>
      <c r="H75" s="220" t="s">
        <v>64</v>
      </c>
      <c r="I75" s="220" t="s">
        <v>54</v>
      </c>
      <c r="J75" s="220" t="s">
        <v>270</v>
      </c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625"/>
      <c r="AK75" s="228" t="s">
        <v>247</v>
      </c>
      <c r="AL75" s="561" t="s">
        <v>544</v>
      </c>
      <c r="AM75" s="562" t="s">
        <v>544</v>
      </c>
      <c r="AN75" s="393" t="s">
        <v>20</v>
      </c>
    </row>
    <row r="76" spans="1:40" ht="15.95" customHeight="1">
      <c r="A76" s="119">
        <v>328</v>
      </c>
      <c r="B76" s="113" t="s">
        <v>459</v>
      </c>
      <c r="C76" s="115" t="s">
        <v>96</v>
      </c>
      <c r="D76" s="116" t="s">
        <v>1359</v>
      </c>
      <c r="E76" s="117" t="s">
        <v>1419</v>
      </c>
      <c r="F76" s="111" t="s">
        <v>9</v>
      </c>
      <c r="G76" s="112" t="s">
        <v>343</v>
      </c>
      <c r="H76" s="112" t="s">
        <v>64</v>
      </c>
      <c r="I76" s="112" t="s">
        <v>539</v>
      </c>
      <c r="J76" s="112" t="s">
        <v>270</v>
      </c>
      <c r="K76" s="123"/>
      <c r="L76" s="122"/>
      <c r="M76" s="122"/>
      <c r="N76" s="122"/>
      <c r="O76" s="122"/>
      <c r="P76" s="122"/>
      <c r="Q76" s="122"/>
      <c r="R76" s="122"/>
      <c r="S76" s="138" t="s">
        <v>289</v>
      </c>
      <c r="T76" s="140" t="s">
        <v>314</v>
      </c>
      <c r="U76" s="135" t="s">
        <v>1068</v>
      </c>
      <c r="V76" s="122"/>
      <c r="W76" s="121">
        <v>5.2</v>
      </c>
      <c r="X76" s="121">
        <v>4.3</v>
      </c>
      <c r="Y76" s="135" t="s">
        <v>1069</v>
      </c>
      <c r="Z76" s="121">
        <v>7.6</v>
      </c>
      <c r="AA76" s="139" t="s">
        <v>1069</v>
      </c>
      <c r="AB76" s="121">
        <v>2.2000000000000002</v>
      </c>
      <c r="AC76" s="135" t="s">
        <v>1068</v>
      </c>
      <c r="AD76" s="122"/>
      <c r="AE76" s="122">
        <v>6.4</v>
      </c>
      <c r="AF76" s="139" t="s">
        <v>1069</v>
      </c>
      <c r="AG76" s="121">
        <v>7.9000000000002402</v>
      </c>
      <c r="AH76" s="135" t="s">
        <v>1383</v>
      </c>
      <c r="AI76" s="122" t="s">
        <v>247</v>
      </c>
      <c r="AJ76" s="624" t="s">
        <v>247</v>
      </c>
      <c r="AK76" s="122">
        <v>10.799999999999699</v>
      </c>
      <c r="AL76" s="560" t="s">
        <v>1500</v>
      </c>
      <c r="AM76" s="558">
        <v>7.0330000000000004</v>
      </c>
      <c r="AN76" s="392"/>
    </row>
    <row r="77" spans="1:40" ht="15.95" customHeight="1">
      <c r="A77" s="119">
        <v>329</v>
      </c>
      <c r="B77" s="113" t="s">
        <v>461</v>
      </c>
      <c r="C77" s="115" t="s">
        <v>96</v>
      </c>
      <c r="D77" s="116" t="s">
        <v>718</v>
      </c>
      <c r="E77" s="117" t="s">
        <v>1420</v>
      </c>
      <c r="F77" s="111" t="s">
        <v>287</v>
      </c>
      <c r="G77" s="112" t="s">
        <v>555</v>
      </c>
      <c r="H77" s="112" t="s">
        <v>542</v>
      </c>
      <c r="I77" s="112" t="s">
        <v>54</v>
      </c>
      <c r="J77" s="112" t="s">
        <v>270</v>
      </c>
      <c r="K77" s="130"/>
      <c r="L77" s="130"/>
      <c r="M77" s="130"/>
      <c r="N77" s="130"/>
      <c r="O77" s="130"/>
      <c r="P77" s="130"/>
      <c r="Q77" s="130"/>
      <c r="R77" s="130"/>
      <c r="S77" s="130"/>
      <c r="T77" s="253" t="s">
        <v>289</v>
      </c>
      <c r="U77" s="135" t="s">
        <v>314</v>
      </c>
      <c r="V77" s="126">
        <v>6.6</v>
      </c>
      <c r="W77" s="135" t="s">
        <v>637</v>
      </c>
      <c r="X77" s="122">
        <v>0</v>
      </c>
      <c r="Y77" s="139" t="s">
        <v>526</v>
      </c>
      <c r="Z77" s="131"/>
      <c r="AA77" s="122"/>
      <c r="AB77" s="121">
        <v>6.5</v>
      </c>
      <c r="AC77" s="139" t="s">
        <v>1070</v>
      </c>
      <c r="AD77" s="122"/>
      <c r="AE77" s="122"/>
      <c r="AF77" s="122" t="s">
        <v>247</v>
      </c>
      <c r="AG77" s="121">
        <v>19.499999999999851</v>
      </c>
      <c r="AH77" s="122" t="s">
        <v>247</v>
      </c>
      <c r="AI77" s="122" t="s">
        <v>247</v>
      </c>
      <c r="AJ77" s="624" t="s">
        <v>247</v>
      </c>
      <c r="AK77" s="122" t="s">
        <v>247</v>
      </c>
      <c r="AL77" s="554" t="s">
        <v>1283</v>
      </c>
      <c r="AM77" s="555">
        <v>4.8864999999999998</v>
      </c>
      <c r="AN77" s="394"/>
    </row>
    <row r="78" spans="1:40" ht="15.95" customHeight="1">
      <c r="A78" s="119">
        <v>401</v>
      </c>
      <c r="B78" s="107" t="s">
        <v>1177</v>
      </c>
      <c r="C78" s="114" t="s">
        <v>132</v>
      </c>
      <c r="D78" s="110" t="s">
        <v>711</v>
      </c>
      <c r="E78" s="109" t="s">
        <v>134</v>
      </c>
      <c r="F78" s="111" t="s">
        <v>9</v>
      </c>
      <c r="G78" s="112" t="s">
        <v>10</v>
      </c>
      <c r="H78" s="112" t="s">
        <v>541</v>
      </c>
      <c r="I78" s="112" t="s">
        <v>284</v>
      </c>
      <c r="J78" s="112" t="s">
        <v>263</v>
      </c>
      <c r="K78" s="136" t="s">
        <v>707</v>
      </c>
      <c r="L78" s="122"/>
      <c r="M78" s="122"/>
      <c r="N78" s="122"/>
      <c r="O78" s="122"/>
      <c r="P78" s="122"/>
      <c r="Q78" s="122"/>
      <c r="R78" s="121">
        <v>24.8</v>
      </c>
      <c r="S78" s="135" t="s">
        <v>1070</v>
      </c>
      <c r="T78" s="122"/>
      <c r="U78" s="122"/>
      <c r="V78" s="122"/>
      <c r="W78" s="121">
        <v>-1.8</v>
      </c>
      <c r="X78" s="121">
        <v>1.4</v>
      </c>
      <c r="Y78" s="139" t="s">
        <v>1070</v>
      </c>
      <c r="Z78" s="122"/>
      <c r="AA78" s="122"/>
      <c r="AB78" s="122"/>
      <c r="AC78" s="122">
        <v>2.2999999999999998</v>
      </c>
      <c r="AD78" s="139" t="s">
        <v>1336</v>
      </c>
      <c r="AE78" s="122"/>
      <c r="AF78" s="122" t="s">
        <v>247</v>
      </c>
      <c r="AG78" s="122" t="s">
        <v>247</v>
      </c>
      <c r="AH78" s="121">
        <v>4.9999999999990052</v>
      </c>
      <c r="AI78" s="122" t="s">
        <v>247</v>
      </c>
      <c r="AJ78" s="624" t="s">
        <v>247</v>
      </c>
      <c r="AK78" s="122" t="s">
        <v>247</v>
      </c>
      <c r="AL78" s="554" t="s">
        <v>1340</v>
      </c>
      <c r="AM78" s="555">
        <v>14.5783</v>
      </c>
      <c r="AN78" s="392"/>
    </row>
    <row r="79" spans="1:40" ht="15.95" customHeight="1">
      <c r="A79" s="119">
        <v>402</v>
      </c>
      <c r="B79" s="107" t="s">
        <v>463</v>
      </c>
      <c r="C79" s="114" t="s">
        <v>132</v>
      </c>
      <c r="D79" s="110" t="s">
        <v>573</v>
      </c>
      <c r="E79" s="109" t="s">
        <v>1421</v>
      </c>
      <c r="F79" s="111" t="s">
        <v>12</v>
      </c>
      <c r="G79" s="112" t="s">
        <v>73</v>
      </c>
      <c r="H79" s="112" t="s">
        <v>541</v>
      </c>
      <c r="I79" s="112" t="s">
        <v>284</v>
      </c>
      <c r="J79" s="112" t="s">
        <v>263</v>
      </c>
      <c r="K79" s="136" t="s">
        <v>685</v>
      </c>
      <c r="L79" s="122"/>
      <c r="M79" s="122"/>
      <c r="N79" s="122"/>
      <c r="O79" s="122"/>
      <c r="P79" s="121">
        <v>10.9</v>
      </c>
      <c r="Q79" s="139" t="s">
        <v>637</v>
      </c>
      <c r="R79" s="121">
        <v>15.2</v>
      </c>
      <c r="S79" s="135" t="s">
        <v>1070</v>
      </c>
      <c r="T79" s="122"/>
      <c r="U79" s="122"/>
      <c r="V79" s="122"/>
      <c r="W79" s="121">
        <v>-1.1000000000000001</v>
      </c>
      <c r="X79" s="121">
        <v>1.7</v>
      </c>
      <c r="Y79" s="139" t="s">
        <v>1070</v>
      </c>
      <c r="Z79" s="122"/>
      <c r="AA79" s="122"/>
      <c r="AB79" s="122"/>
      <c r="AC79" s="122">
        <v>2</v>
      </c>
      <c r="AD79" s="139" t="s">
        <v>1336</v>
      </c>
      <c r="AE79" s="122"/>
      <c r="AF79" s="122" t="s">
        <v>247</v>
      </c>
      <c r="AG79" s="122" t="s">
        <v>247</v>
      </c>
      <c r="AH79" s="121">
        <v>10.399999999997078</v>
      </c>
      <c r="AI79" s="122" t="s">
        <v>247</v>
      </c>
      <c r="AJ79" s="624" t="s">
        <v>247</v>
      </c>
      <c r="AK79" s="122" t="s">
        <v>247</v>
      </c>
      <c r="AL79" s="554" t="s">
        <v>1340</v>
      </c>
      <c r="AM79" s="555">
        <v>20.711200000000002</v>
      </c>
      <c r="AN79" s="392"/>
    </row>
    <row r="80" spans="1:40" ht="15.95" customHeight="1">
      <c r="A80" s="119">
        <v>403</v>
      </c>
      <c r="B80" s="107" t="s">
        <v>464</v>
      </c>
      <c r="C80" s="114" t="s">
        <v>132</v>
      </c>
      <c r="D80" s="110" t="s">
        <v>668</v>
      </c>
      <c r="E80" s="109" t="s">
        <v>138</v>
      </c>
      <c r="F80" s="111" t="s">
        <v>9</v>
      </c>
      <c r="G80" s="112" t="s">
        <v>10</v>
      </c>
      <c r="H80" s="112" t="s">
        <v>541</v>
      </c>
      <c r="I80" s="112" t="s">
        <v>284</v>
      </c>
      <c r="J80" s="112" t="s">
        <v>263</v>
      </c>
      <c r="K80" s="136" t="s">
        <v>707</v>
      </c>
      <c r="L80" s="122"/>
      <c r="M80" s="122"/>
      <c r="N80" s="122"/>
      <c r="O80" s="122"/>
      <c r="P80" s="122"/>
      <c r="Q80" s="122"/>
      <c r="R80" s="121">
        <v>26.6</v>
      </c>
      <c r="S80" s="139" t="s">
        <v>1071</v>
      </c>
      <c r="T80" s="122"/>
      <c r="U80" s="122"/>
      <c r="V80" s="122">
        <v>-2</v>
      </c>
      <c r="W80" s="125">
        <v>-1</v>
      </c>
      <c r="X80" s="139" t="s">
        <v>1071</v>
      </c>
      <c r="Y80" s="122"/>
      <c r="Z80" s="122"/>
      <c r="AA80" s="122">
        <v>3.3</v>
      </c>
      <c r="AB80" s="139" t="s">
        <v>1069</v>
      </c>
      <c r="AC80" s="122">
        <v>-0.6</v>
      </c>
      <c r="AD80" s="139" t="s">
        <v>1068</v>
      </c>
      <c r="AE80" s="122"/>
      <c r="AF80" s="122">
        <v>-0.70000000000192131</v>
      </c>
      <c r="AG80" s="139" t="s">
        <v>1333</v>
      </c>
      <c r="AH80" s="121">
        <v>3.8000000000018019</v>
      </c>
      <c r="AI80" s="122" t="s">
        <v>247</v>
      </c>
      <c r="AJ80" s="624" t="s">
        <v>247</v>
      </c>
      <c r="AK80" s="122" t="s">
        <v>247</v>
      </c>
      <c r="AL80" s="554" t="s">
        <v>1340</v>
      </c>
      <c r="AM80" s="555">
        <v>23.9452</v>
      </c>
      <c r="AN80" s="392"/>
    </row>
    <row r="81" spans="1:40" ht="15.95" customHeight="1">
      <c r="A81" s="119">
        <v>404</v>
      </c>
      <c r="B81" s="107" t="s">
        <v>465</v>
      </c>
      <c r="C81" s="114" t="s">
        <v>132</v>
      </c>
      <c r="D81" s="110" t="s">
        <v>643</v>
      </c>
      <c r="E81" s="109" t="s">
        <v>140</v>
      </c>
      <c r="F81" s="111" t="s">
        <v>9</v>
      </c>
      <c r="G81" s="112" t="s">
        <v>10</v>
      </c>
      <c r="H81" s="112" t="s">
        <v>541</v>
      </c>
      <c r="I81" s="112" t="s">
        <v>141</v>
      </c>
      <c r="J81" s="112" t="s">
        <v>547</v>
      </c>
      <c r="K81" s="136" t="s">
        <v>685</v>
      </c>
      <c r="L81" s="122"/>
      <c r="M81" s="122"/>
      <c r="N81" s="122"/>
      <c r="O81" s="122"/>
      <c r="P81" s="121">
        <v>7.5</v>
      </c>
      <c r="Q81" s="139" t="s">
        <v>637</v>
      </c>
      <c r="R81" s="121">
        <v>14.4</v>
      </c>
      <c r="S81" s="139" t="s">
        <v>1071</v>
      </c>
      <c r="T81" s="122"/>
      <c r="U81" s="122"/>
      <c r="V81" s="122">
        <v>-3.1</v>
      </c>
      <c r="W81" s="126">
        <v>-0.1</v>
      </c>
      <c r="X81" s="121">
        <v>2.2000000000000002</v>
      </c>
      <c r="Y81" s="139" t="s">
        <v>1068</v>
      </c>
      <c r="Z81" s="122"/>
      <c r="AA81" s="122">
        <v>1.3</v>
      </c>
      <c r="AB81" s="139" t="s">
        <v>1069</v>
      </c>
      <c r="AC81" s="122">
        <v>-2.1</v>
      </c>
      <c r="AD81" s="139" t="s">
        <v>1068</v>
      </c>
      <c r="AE81" s="122"/>
      <c r="AF81" s="122">
        <v>-0.70000000000192131</v>
      </c>
      <c r="AG81" s="139" t="s">
        <v>1333</v>
      </c>
      <c r="AH81" s="121">
        <v>2.6000000000010459</v>
      </c>
      <c r="AI81" s="122" t="s">
        <v>247</v>
      </c>
      <c r="AJ81" s="624" t="s">
        <v>247</v>
      </c>
      <c r="AK81" s="122" t="s">
        <v>247</v>
      </c>
      <c r="AL81" s="554" t="s">
        <v>1340</v>
      </c>
      <c r="AM81" s="555">
        <v>23.8627</v>
      </c>
      <c r="AN81" s="392"/>
    </row>
    <row r="82" spans="1:40" ht="15.95" customHeight="1">
      <c r="A82" s="119">
        <v>405</v>
      </c>
      <c r="B82" s="107" t="s">
        <v>466</v>
      </c>
      <c r="C82" s="114" t="s">
        <v>132</v>
      </c>
      <c r="D82" s="110" t="s">
        <v>669</v>
      </c>
      <c r="E82" s="109" t="s">
        <v>1422</v>
      </c>
      <c r="F82" s="111" t="s">
        <v>12</v>
      </c>
      <c r="G82" s="112" t="s">
        <v>10</v>
      </c>
      <c r="H82" s="112" t="s">
        <v>541</v>
      </c>
      <c r="I82" s="112" t="s">
        <v>141</v>
      </c>
      <c r="J82" s="112" t="s">
        <v>547</v>
      </c>
      <c r="K82" s="136" t="s">
        <v>685</v>
      </c>
      <c r="L82" s="122"/>
      <c r="M82" s="122"/>
      <c r="N82" s="122"/>
      <c r="O82" s="122"/>
      <c r="P82" s="121">
        <v>8.5</v>
      </c>
      <c r="Q82" s="139" t="s">
        <v>637</v>
      </c>
      <c r="R82" s="121">
        <v>14.6</v>
      </c>
      <c r="S82" s="139" t="s">
        <v>1071</v>
      </c>
      <c r="T82" s="122"/>
      <c r="U82" s="122"/>
      <c r="V82" s="122">
        <v>-3.2</v>
      </c>
      <c r="W82" s="125">
        <v>1</v>
      </c>
      <c r="X82" s="125">
        <v>2.1</v>
      </c>
      <c r="Y82" s="139" t="s">
        <v>1068</v>
      </c>
      <c r="Z82" s="122"/>
      <c r="AA82" s="122">
        <v>0.9</v>
      </c>
      <c r="AB82" s="139" t="s">
        <v>1069</v>
      </c>
      <c r="AC82" s="122">
        <v>-1.3</v>
      </c>
      <c r="AD82" s="139" t="s">
        <v>1068</v>
      </c>
      <c r="AE82" s="122"/>
      <c r="AF82" s="122">
        <v>-9.9999999999766942E-2</v>
      </c>
      <c r="AG82" s="139" t="s">
        <v>1333</v>
      </c>
      <c r="AH82" s="121">
        <v>2.9000000000003467</v>
      </c>
      <c r="AI82" s="122" t="s">
        <v>247</v>
      </c>
      <c r="AJ82" s="624" t="s">
        <v>247</v>
      </c>
      <c r="AK82" s="122" t="s">
        <v>247</v>
      </c>
      <c r="AL82" s="554" t="s">
        <v>1340</v>
      </c>
      <c r="AM82" s="555">
        <v>23.873999999999999</v>
      </c>
      <c r="AN82" s="392"/>
    </row>
    <row r="83" spans="1:40" ht="15.95" customHeight="1">
      <c r="A83" s="119">
        <v>406</v>
      </c>
      <c r="B83" s="107" t="s">
        <v>467</v>
      </c>
      <c r="C83" s="114" t="s">
        <v>132</v>
      </c>
      <c r="D83" s="110" t="s">
        <v>644</v>
      </c>
      <c r="E83" s="109" t="s">
        <v>1423</v>
      </c>
      <c r="F83" s="111" t="s">
        <v>12</v>
      </c>
      <c r="G83" s="112" t="s">
        <v>10</v>
      </c>
      <c r="H83" s="112" t="s">
        <v>541</v>
      </c>
      <c r="I83" s="112" t="s">
        <v>141</v>
      </c>
      <c r="J83" s="112" t="s">
        <v>547</v>
      </c>
      <c r="K83" s="136" t="s">
        <v>707</v>
      </c>
      <c r="L83" s="122"/>
      <c r="M83" s="122"/>
      <c r="N83" s="122"/>
      <c r="O83" s="122"/>
      <c r="P83" s="122"/>
      <c r="Q83" s="122"/>
      <c r="R83" s="121">
        <v>24.8</v>
      </c>
      <c r="S83" s="135" t="s">
        <v>1070</v>
      </c>
      <c r="T83" s="122"/>
      <c r="U83" s="122"/>
      <c r="V83" s="122"/>
      <c r="W83" s="122">
        <v>-1.9</v>
      </c>
      <c r="X83" s="126">
        <v>0.7</v>
      </c>
      <c r="Y83" s="139" t="s">
        <v>1068</v>
      </c>
      <c r="Z83" s="122"/>
      <c r="AA83" s="122">
        <v>2.8</v>
      </c>
      <c r="AB83" s="139" t="s">
        <v>1069</v>
      </c>
      <c r="AC83" s="122">
        <v>-2.2999999999999998</v>
      </c>
      <c r="AD83" s="139" t="s">
        <v>1068</v>
      </c>
      <c r="AE83" s="122"/>
      <c r="AF83" s="122">
        <v>1.0000000000012221</v>
      </c>
      <c r="AG83" s="139" t="s">
        <v>1333</v>
      </c>
      <c r="AH83" s="121">
        <v>1.1999999999972033</v>
      </c>
      <c r="AI83" s="122" t="s">
        <v>247</v>
      </c>
      <c r="AJ83" s="624" t="s">
        <v>247</v>
      </c>
      <c r="AK83" s="122" t="s">
        <v>247</v>
      </c>
      <c r="AL83" s="554" t="s">
        <v>1340</v>
      </c>
      <c r="AM83" s="555">
        <v>22.080200000000001</v>
      </c>
      <c r="AN83" s="392"/>
    </row>
    <row r="84" spans="1:40" ht="15.95" customHeight="1">
      <c r="A84" s="119">
        <v>407</v>
      </c>
      <c r="B84" s="107" t="s">
        <v>468</v>
      </c>
      <c r="C84" s="114" t="s">
        <v>132</v>
      </c>
      <c r="D84" s="110" t="s">
        <v>716</v>
      </c>
      <c r="E84" s="109" t="s">
        <v>146</v>
      </c>
      <c r="F84" s="111" t="s">
        <v>9</v>
      </c>
      <c r="G84" s="112" t="s">
        <v>10</v>
      </c>
      <c r="H84" s="112" t="s">
        <v>541</v>
      </c>
      <c r="I84" s="112" t="s">
        <v>141</v>
      </c>
      <c r="J84" s="112" t="s">
        <v>547</v>
      </c>
      <c r="K84" s="136" t="s">
        <v>685</v>
      </c>
      <c r="L84" s="122"/>
      <c r="M84" s="122"/>
      <c r="N84" s="122"/>
      <c r="O84" s="122"/>
      <c r="P84" s="121">
        <v>9.3000000000000007</v>
      </c>
      <c r="Q84" s="139" t="s">
        <v>637</v>
      </c>
      <c r="R84" s="121">
        <v>15.1</v>
      </c>
      <c r="S84" s="139" t="s">
        <v>1071</v>
      </c>
      <c r="T84" s="122"/>
      <c r="U84" s="122"/>
      <c r="V84" s="122">
        <v>-3.8</v>
      </c>
      <c r="W84" s="125">
        <v>0.2</v>
      </c>
      <c r="X84" s="125">
        <v>2.5</v>
      </c>
      <c r="Y84" s="139" t="s">
        <v>1068</v>
      </c>
      <c r="Z84" s="122"/>
      <c r="AA84" s="122">
        <v>1.1000000000000001</v>
      </c>
      <c r="AB84" s="139" t="s">
        <v>1069</v>
      </c>
      <c r="AC84" s="122">
        <v>-1.9</v>
      </c>
      <c r="AD84" s="139" t="s">
        <v>1068</v>
      </c>
      <c r="AE84" s="122"/>
      <c r="AF84" s="122">
        <v>0.59999999999860165</v>
      </c>
      <c r="AG84" s="139" t="s">
        <v>1333</v>
      </c>
      <c r="AH84" s="121">
        <v>1.200000000000756</v>
      </c>
      <c r="AI84" s="122" t="s">
        <v>247</v>
      </c>
      <c r="AJ84" s="624" t="s">
        <v>247</v>
      </c>
      <c r="AK84" s="122" t="s">
        <v>247</v>
      </c>
      <c r="AL84" s="554" t="s">
        <v>1340</v>
      </c>
      <c r="AM84" s="555">
        <v>18.832699999999999</v>
      </c>
      <c r="AN84" s="392"/>
    </row>
    <row r="85" spans="1:40" ht="15.95" customHeight="1">
      <c r="A85" s="119">
        <v>408</v>
      </c>
      <c r="B85" s="107" t="s">
        <v>469</v>
      </c>
      <c r="C85" s="114" t="s">
        <v>132</v>
      </c>
      <c r="D85" s="110" t="s">
        <v>645</v>
      </c>
      <c r="E85" s="109" t="s">
        <v>147</v>
      </c>
      <c r="F85" s="111" t="s">
        <v>9</v>
      </c>
      <c r="G85" s="112" t="s">
        <v>10</v>
      </c>
      <c r="H85" s="112" t="s">
        <v>541</v>
      </c>
      <c r="I85" s="112" t="s">
        <v>141</v>
      </c>
      <c r="J85" s="112" t="s">
        <v>547</v>
      </c>
      <c r="K85" s="136" t="s">
        <v>707</v>
      </c>
      <c r="L85" s="122"/>
      <c r="M85" s="122"/>
      <c r="N85" s="122"/>
      <c r="O85" s="122"/>
      <c r="P85" s="122"/>
      <c r="Q85" s="122"/>
      <c r="R85" s="121">
        <v>24.2</v>
      </c>
      <c r="S85" s="135" t="s">
        <v>1070</v>
      </c>
      <c r="T85" s="122"/>
      <c r="U85" s="122"/>
      <c r="V85" s="122"/>
      <c r="W85" s="122">
        <v>-3</v>
      </c>
      <c r="X85" s="125">
        <v>1.2</v>
      </c>
      <c r="Y85" s="139" t="s">
        <v>1068</v>
      </c>
      <c r="Z85" s="122"/>
      <c r="AA85" s="122">
        <v>2.2000000000000002</v>
      </c>
      <c r="AB85" s="139" t="s">
        <v>1069</v>
      </c>
      <c r="AC85" s="122">
        <v>-2.2999999999999998</v>
      </c>
      <c r="AD85" s="139" t="s">
        <v>1068</v>
      </c>
      <c r="AE85" s="122"/>
      <c r="AF85" s="122">
        <v>0.49999999999883471</v>
      </c>
      <c r="AG85" s="138"/>
      <c r="AH85" s="140" t="s">
        <v>1339</v>
      </c>
      <c r="AI85" s="122" t="s">
        <v>247</v>
      </c>
      <c r="AJ85" s="624" t="s">
        <v>247</v>
      </c>
      <c r="AK85" s="122" t="s">
        <v>247</v>
      </c>
      <c r="AL85" s="554" t="s">
        <v>1340</v>
      </c>
      <c r="AM85" s="555">
        <v>18.146799999999999</v>
      </c>
      <c r="AN85" s="392" t="s">
        <v>1350</v>
      </c>
    </row>
    <row r="86" spans="1:40" s="231" customFormat="1" ht="15.75" customHeight="1">
      <c r="A86" s="214">
        <v>410</v>
      </c>
      <c r="B86" s="215" t="s">
        <v>470</v>
      </c>
      <c r="C86" s="216" t="s">
        <v>132</v>
      </c>
      <c r="D86" s="217" t="s">
        <v>1362</v>
      </c>
      <c r="E86" s="218" t="s">
        <v>299</v>
      </c>
      <c r="F86" s="219" t="s">
        <v>9</v>
      </c>
      <c r="G86" s="220" t="s">
        <v>31</v>
      </c>
      <c r="H86" s="220" t="s">
        <v>64</v>
      </c>
      <c r="I86" s="220" t="s">
        <v>54</v>
      </c>
      <c r="J86" s="220" t="s">
        <v>270</v>
      </c>
      <c r="K86" s="232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625"/>
      <c r="AK86" s="228" t="s">
        <v>247</v>
      </c>
      <c r="AL86" s="561" t="s">
        <v>544</v>
      </c>
      <c r="AM86" s="562" t="s">
        <v>544</v>
      </c>
      <c r="AN86" s="393" t="s">
        <v>725</v>
      </c>
    </row>
    <row r="87" spans="1:40" ht="15.95" customHeight="1">
      <c r="A87" s="119">
        <v>411</v>
      </c>
      <c r="B87" s="107" t="s">
        <v>472</v>
      </c>
      <c r="C87" s="114" t="s">
        <v>132</v>
      </c>
      <c r="D87" s="110" t="s">
        <v>1362</v>
      </c>
      <c r="E87" s="109" t="s">
        <v>1424</v>
      </c>
      <c r="F87" s="111" t="s">
        <v>9</v>
      </c>
      <c r="G87" s="112" t="s">
        <v>10</v>
      </c>
      <c r="H87" s="112" t="s">
        <v>64</v>
      </c>
      <c r="I87" s="112" t="s">
        <v>54</v>
      </c>
      <c r="J87" s="112" t="s">
        <v>270</v>
      </c>
      <c r="K87" s="136" t="s">
        <v>685</v>
      </c>
      <c r="L87" s="122"/>
      <c r="M87" s="122"/>
      <c r="N87" s="122"/>
      <c r="O87" s="122"/>
      <c r="P87" s="121">
        <v>41.9</v>
      </c>
      <c r="Q87" s="139" t="s">
        <v>1072</v>
      </c>
      <c r="R87" s="122"/>
      <c r="S87" s="122"/>
      <c r="T87" s="122"/>
      <c r="U87" s="122"/>
      <c r="V87" s="122">
        <v>118.9</v>
      </c>
      <c r="W87" s="126">
        <v>-2</v>
      </c>
      <c r="X87" s="139" t="s">
        <v>1071</v>
      </c>
      <c r="Y87" s="122"/>
      <c r="Z87" s="122"/>
      <c r="AA87" s="122">
        <v>22.6</v>
      </c>
      <c r="AB87" s="139" t="s">
        <v>1070</v>
      </c>
      <c r="AC87" s="122"/>
      <c r="AD87" s="122"/>
      <c r="AE87" s="122"/>
      <c r="AF87" s="122">
        <v>17.900000000000027</v>
      </c>
      <c r="AG87" s="125" t="s">
        <v>1383</v>
      </c>
      <c r="AH87" s="122" t="s">
        <v>247</v>
      </c>
      <c r="AI87" s="122" t="s">
        <v>247</v>
      </c>
      <c r="AJ87" s="122">
        <v>32.300000000000217</v>
      </c>
      <c r="AK87" s="141" t="s">
        <v>247</v>
      </c>
      <c r="AL87" s="554" t="s">
        <v>1380</v>
      </c>
      <c r="AM87" s="555">
        <v>3.2930999999999999</v>
      </c>
      <c r="AN87" s="392"/>
    </row>
    <row r="88" spans="1:40" ht="15.95" customHeight="1">
      <c r="A88" s="119">
        <v>412</v>
      </c>
      <c r="B88" s="107" t="s">
        <v>474</v>
      </c>
      <c r="C88" s="114" t="s">
        <v>132</v>
      </c>
      <c r="D88" s="110" t="s">
        <v>670</v>
      </c>
      <c r="E88" s="109" t="s">
        <v>1425</v>
      </c>
      <c r="F88" s="111" t="s">
        <v>9</v>
      </c>
      <c r="G88" s="112" t="s">
        <v>255</v>
      </c>
      <c r="H88" s="112" t="s">
        <v>542</v>
      </c>
      <c r="I88" s="112" t="s">
        <v>54</v>
      </c>
      <c r="J88" s="112" t="s">
        <v>270</v>
      </c>
      <c r="K88" s="138" t="s">
        <v>260</v>
      </c>
      <c r="L88" s="122"/>
      <c r="M88" s="138" t="s">
        <v>530</v>
      </c>
      <c r="N88" s="135" t="s">
        <v>525</v>
      </c>
      <c r="O88" s="122"/>
      <c r="P88" s="121">
        <v>75.400000000000006</v>
      </c>
      <c r="Q88" s="139" t="s">
        <v>1072</v>
      </c>
      <c r="R88" s="122"/>
      <c r="S88" s="122"/>
      <c r="T88" s="122"/>
      <c r="U88" s="122"/>
      <c r="V88" s="122">
        <v>116.5</v>
      </c>
      <c r="W88" s="139" t="s">
        <v>1070</v>
      </c>
      <c r="X88" s="122"/>
      <c r="Y88" s="122"/>
      <c r="Z88" s="122"/>
      <c r="AA88" s="122">
        <v>26.5</v>
      </c>
      <c r="AB88" s="139" t="s">
        <v>1070</v>
      </c>
      <c r="AC88" s="122"/>
      <c r="AD88" s="122"/>
      <c r="AE88" s="122"/>
      <c r="AF88" s="122">
        <v>21.600000000000286</v>
      </c>
      <c r="AG88" s="125" t="s">
        <v>247</v>
      </c>
      <c r="AH88" s="122" t="s">
        <v>247</v>
      </c>
      <c r="AI88" s="122" t="s">
        <v>247</v>
      </c>
      <c r="AJ88" s="624" t="s">
        <v>247</v>
      </c>
      <c r="AK88" s="122" t="s">
        <v>247</v>
      </c>
      <c r="AL88" s="554" t="s">
        <v>536</v>
      </c>
      <c r="AM88" s="555">
        <v>5.2348999999999997</v>
      </c>
      <c r="AN88" s="392" t="s">
        <v>1132</v>
      </c>
    </row>
    <row r="89" spans="1:40" ht="15.95" customHeight="1">
      <c r="A89" s="119">
        <v>413</v>
      </c>
      <c r="B89" s="107" t="s">
        <v>476</v>
      </c>
      <c r="C89" s="114" t="s">
        <v>132</v>
      </c>
      <c r="D89" s="110" t="s">
        <v>1465</v>
      </c>
      <c r="E89" s="109" t="s">
        <v>299</v>
      </c>
      <c r="F89" s="111" t="s">
        <v>9</v>
      </c>
      <c r="G89" s="112" t="s">
        <v>31</v>
      </c>
      <c r="H89" s="112" t="s">
        <v>64</v>
      </c>
      <c r="I89" s="112" t="s">
        <v>54</v>
      </c>
      <c r="J89" s="112" t="s">
        <v>270</v>
      </c>
      <c r="K89" s="136" t="s">
        <v>525</v>
      </c>
      <c r="L89" s="122"/>
      <c r="M89" s="127">
        <v>58.2</v>
      </c>
      <c r="N89" s="136" t="s">
        <v>525</v>
      </c>
      <c r="O89" s="122"/>
      <c r="P89" s="121">
        <v>43.1</v>
      </c>
      <c r="Q89" s="139" t="s">
        <v>1072</v>
      </c>
      <c r="R89" s="122"/>
      <c r="S89" s="122"/>
      <c r="T89" s="122"/>
      <c r="U89" s="122"/>
      <c r="V89" s="122">
        <v>81.900000000000006</v>
      </c>
      <c r="W89" s="139" t="s">
        <v>1070</v>
      </c>
      <c r="X89" s="122"/>
      <c r="Y89" s="122"/>
      <c r="Z89" s="122"/>
      <c r="AA89" s="122">
        <v>31.5</v>
      </c>
      <c r="AB89" s="139" t="s">
        <v>1070</v>
      </c>
      <c r="AC89" s="122"/>
      <c r="AD89" s="122"/>
      <c r="AE89" s="122"/>
      <c r="AF89" s="122">
        <v>29.099999999999682</v>
      </c>
      <c r="AG89" s="125" t="s">
        <v>247</v>
      </c>
      <c r="AH89" s="122" t="s">
        <v>247</v>
      </c>
      <c r="AI89" s="122" t="s">
        <v>247</v>
      </c>
      <c r="AJ89" s="624" t="s">
        <v>247</v>
      </c>
      <c r="AK89" s="122" t="s">
        <v>247</v>
      </c>
      <c r="AL89" s="554" t="s">
        <v>536</v>
      </c>
      <c r="AM89" s="555">
        <v>4.5007000000000001</v>
      </c>
      <c r="AN89" s="392"/>
    </row>
    <row r="90" spans="1:40" ht="15.95" customHeight="1">
      <c r="A90" s="119">
        <v>414</v>
      </c>
      <c r="B90" s="107" t="s">
        <v>478</v>
      </c>
      <c r="C90" s="114" t="s">
        <v>132</v>
      </c>
      <c r="D90" s="110" t="s">
        <v>1466</v>
      </c>
      <c r="E90" s="109" t="s">
        <v>150</v>
      </c>
      <c r="F90" s="111" t="s">
        <v>9</v>
      </c>
      <c r="G90" s="112" t="s">
        <v>31</v>
      </c>
      <c r="H90" s="112" t="s">
        <v>64</v>
      </c>
      <c r="I90" s="112" t="s">
        <v>54</v>
      </c>
      <c r="J90" s="112" t="s">
        <v>270</v>
      </c>
      <c r="K90" s="136" t="s">
        <v>525</v>
      </c>
      <c r="L90" s="122"/>
      <c r="M90" s="121">
        <v>43</v>
      </c>
      <c r="N90" s="136" t="s">
        <v>525</v>
      </c>
      <c r="O90" s="122"/>
      <c r="P90" s="121">
        <v>26.3</v>
      </c>
      <c r="Q90" s="139" t="s">
        <v>1072</v>
      </c>
      <c r="R90" s="122"/>
      <c r="S90" s="122"/>
      <c r="T90" s="122"/>
      <c r="U90" s="122"/>
      <c r="V90" s="122">
        <v>85.5</v>
      </c>
      <c r="W90" s="139" t="s">
        <v>1070</v>
      </c>
      <c r="X90" s="122"/>
      <c r="Y90" s="122"/>
      <c r="Z90" s="122"/>
      <c r="AA90" s="122">
        <v>26.3</v>
      </c>
      <c r="AB90" s="139" t="s">
        <v>1073</v>
      </c>
      <c r="AC90" s="122">
        <v>8.3000000000000007</v>
      </c>
      <c r="AD90" s="139" t="s">
        <v>1068</v>
      </c>
      <c r="AE90" s="122"/>
      <c r="AF90" s="122">
        <v>10.199999999999321</v>
      </c>
      <c r="AG90" s="139" t="s">
        <v>1333</v>
      </c>
      <c r="AH90" s="121">
        <v>15.200000000000102</v>
      </c>
      <c r="AI90" s="122" t="s">
        <v>247</v>
      </c>
      <c r="AJ90" s="624" t="s">
        <v>247</v>
      </c>
      <c r="AK90" s="122" t="s">
        <v>247</v>
      </c>
      <c r="AL90" s="554" t="s">
        <v>1340</v>
      </c>
      <c r="AM90" s="555">
        <v>6.7087000000000003</v>
      </c>
      <c r="AN90" s="392"/>
    </row>
    <row r="91" spans="1:40" ht="15.95" customHeight="1">
      <c r="A91" s="119">
        <v>415</v>
      </c>
      <c r="B91" s="107" t="s">
        <v>479</v>
      </c>
      <c r="C91" s="114" t="s">
        <v>132</v>
      </c>
      <c r="D91" s="110" t="s">
        <v>1467</v>
      </c>
      <c r="E91" s="109" t="s">
        <v>299</v>
      </c>
      <c r="F91" s="111" t="s">
        <v>9</v>
      </c>
      <c r="G91" s="112" t="s">
        <v>10</v>
      </c>
      <c r="H91" s="112" t="s">
        <v>64</v>
      </c>
      <c r="I91" s="112" t="s">
        <v>54</v>
      </c>
      <c r="J91" s="112" t="s">
        <v>270</v>
      </c>
      <c r="K91" s="136" t="s">
        <v>685</v>
      </c>
      <c r="L91" s="122"/>
      <c r="M91" s="122"/>
      <c r="N91" s="122"/>
      <c r="O91" s="122"/>
      <c r="P91" s="121">
        <v>61.7</v>
      </c>
      <c r="Q91" s="139" t="s">
        <v>1072</v>
      </c>
      <c r="R91" s="122"/>
      <c r="S91" s="122"/>
      <c r="T91" s="122"/>
      <c r="U91" s="122"/>
      <c r="V91" s="122">
        <v>25</v>
      </c>
      <c r="W91" s="139" t="s">
        <v>1070</v>
      </c>
      <c r="X91" s="122"/>
      <c r="Y91" s="122"/>
      <c r="Z91" s="122"/>
      <c r="AA91" s="122">
        <v>6.9</v>
      </c>
      <c r="AB91" s="139" t="s">
        <v>1070</v>
      </c>
      <c r="AC91" s="122"/>
      <c r="AD91" s="122"/>
      <c r="AE91" s="122"/>
      <c r="AF91" s="122">
        <v>-3.3000000000003027</v>
      </c>
      <c r="AG91" s="125" t="s">
        <v>247</v>
      </c>
      <c r="AH91" s="122" t="s">
        <v>247</v>
      </c>
      <c r="AI91" s="122" t="s">
        <v>247</v>
      </c>
      <c r="AJ91" s="624" t="s">
        <v>247</v>
      </c>
      <c r="AK91" s="122" t="s">
        <v>247</v>
      </c>
      <c r="AL91" s="554" t="s">
        <v>536</v>
      </c>
      <c r="AM91" s="555">
        <v>5.5640000000000001</v>
      </c>
      <c r="AN91" s="392"/>
    </row>
    <row r="92" spans="1:40" ht="15.95" customHeight="1">
      <c r="A92" s="119">
        <v>416</v>
      </c>
      <c r="B92" s="107" t="s">
        <v>481</v>
      </c>
      <c r="C92" s="114" t="s">
        <v>132</v>
      </c>
      <c r="D92" s="110" t="s">
        <v>579</v>
      </c>
      <c r="E92" s="109" t="s">
        <v>153</v>
      </c>
      <c r="F92" s="111" t="s">
        <v>9</v>
      </c>
      <c r="G92" s="112" t="s">
        <v>10</v>
      </c>
      <c r="H92" s="112" t="s">
        <v>541</v>
      </c>
      <c r="I92" s="112" t="s">
        <v>54</v>
      </c>
      <c r="J92" s="112" t="s">
        <v>270</v>
      </c>
      <c r="K92" s="136" t="s">
        <v>685</v>
      </c>
      <c r="L92" s="122"/>
      <c r="M92" s="122"/>
      <c r="N92" s="122"/>
      <c r="O92" s="122"/>
      <c r="P92" s="121">
        <v>15</v>
      </c>
      <c r="Q92" s="139" t="s">
        <v>1072</v>
      </c>
      <c r="R92" s="122"/>
      <c r="S92" s="122"/>
      <c r="T92" s="122"/>
      <c r="U92" s="122"/>
      <c r="V92" s="122">
        <v>21.5</v>
      </c>
      <c r="W92" s="125">
        <v>-1.4</v>
      </c>
      <c r="X92" s="139" t="s">
        <v>1071</v>
      </c>
      <c r="Y92" s="122"/>
      <c r="Z92" s="122"/>
      <c r="AA92" s="122">
        <v>6.5</v>
      </c>
      <c r="AB92" s="139" t="s">
        <v>1070</v>
      </c>
      <c r="AC92" s="122"/>
      <c r="AD92" s="122"/>
      <c r="AE92" s="122"/>
      <c r="AF92" s="122">
        <v>2.7000000000008129</v>
      </c>
      <c r="AG92" s="125" t="s">
        <v>247</v>
      </c>
      <c r="AH92" s="122" t="s">
        <v>247</v>
      </c>
      <c r="AI92" s="122" t="s">
        <v>247</v>
      </c>
      <c r="AJ92" s="624" t="s">
        <v>247</v>
      </c>
      <c r="AK92" s="122" t="s">
        <v>247</v>
      </c>
      <c r="AL92" s="554" t="s">
        <v>536</v>
      </c>
      <c r="AM92" s="555">
        <v>9.375</v>
      </c>
      <c r="AN92" s="392"/>
    </row>
    <row r="93" spans="1:40" s="231" customFormat="1" ht="15.95" customHeight="1">
      <c r="A93" s="214">
        <v>417</v>
      </c>
      <c r="B93" s="215" t="s">
        <v>482</v>
      </c>
      <c r="C93" s="216" t="s">
        <v>132</v>
      </c>
      <c r="D93" s="217" t="s">
        <v>686</v>
      </c>
      <c r="E93" s="218" t="s">
        <v>155</v>
      </c>
      <c r="F93" s="219" t="s">
        <v>9</v>
      </c>
      <c r="G93" s="220" t="s">
        <v>10</v>
      </c>
      <c r="H93" s="220" t="s">
        <v>541</v>
      </c>
      <c r="I93" s="220" t="s">
        <v>54</v>
      </c>
      <c r="J93" s="220" t="s">
        <v>270</v>
      </c>
      <c r="K93" s="233" t="s">
        <v>685</v>
      </c>
      <c r="L93" s="228"/>
      <c r="M93" s="228"/>
      <c r="N93" s="228"/>
      <c r="O93" s="228"/>
      <c r="P93" s="229">
        <v>39.299999999999997</v>
      </c>
      <c r="Q93" s="227" t="s">
        <v>1072</v>
      </c>
      <c r="R93" s="228"/>
      <c r="S93" s="228"/>
      <c r="T93" s="228"/>
      <c r="U93" s="228"/>
      <c r="V93" s="221">
        <v>48.1</v>
      </c>
      <c r="W93" s="224"/>
      <c r="X93" s="228"/>
      <c r="Y93" s="228"/>
      <c r="Z93" s="232"/>
      <c r="AA93" s="228"/>
      <c r="AB93" s="228"/>
      <c r="AC93" s="228"/>
      <c r="AD93" s="228"/>
      <c r="AE93" s="228"/>
      <c r="AF93" s="228"/>
      <c r="AG93" s="228"/>
      <c r="AH93" s="228"/>
      <c r="AI93" s="228"/>
      <c r="AJ93" s="625"/>
      <c r="AK93" s="228" t="s">
        <v>247</v>
      </c>
      <c r="AL93" s="561" t="s">
        <v>544</v>
      </c>
      <c r="AM93" s="562" t="s">
        <v>544</v>
      </c>
      <c r="AN93" s="393" t="s">
        <v>726</v>
      </c>
    </row>
    <row r="94" spans="1:40" ht="15.95" customHeight="1">
      <c r="A94" s="119">
        <v>418</v>
      </c>
      <c r="B94" s="107" t="s">
        <v>1178</v>
      </c>
      <c r="C94" s="114" t="s">
        <v>528</v>
      </c>
      <c r="D94" s="110" t="s">
        <v>686</v>
      </c>
      <c r="E94" s="109" t="s">
        <v>1426</v>
      </c>
      <c r="F94" s="111" t="s">
        <v>1262</v>
      </c>
      <c r="G94" s="112" t="s">
        <v>1267</v>
      </c>
      <c r="H94" s="112" t="s">
        <v>1268</v>
      </c>
      <c r="I94" s="112" t="s">
        <v>1269</v>
      </c>
      <c r="J94" s="112" t="s">
        <v>1266</v>
      </c>
      <c r="K94" s="123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1"/>
      <c r="Z94" s="138" t="s">
        <v>289</v>
      </c>
      <c r="AA94" s="138" t="s">
        <v>256</v>
      </c>
      <c r="AB94" s="135" t="s">
        <v>1069</v>
      </c>
      <c r="AC94" s="122">
        <v>5</v>
      </c>
      <c r="AD94" s="139" t="s">
        <v>1068</v>
      </c>
      <c r="AE94" s="122"/>
      <c r="AF94" s="122">
        <v>5.3000000000000824</v>
      </c>
      <c r="AG94" s="139" t="s">
        <v>1333</v>
      </c>
      <c r="AH94" s="121">
        <v>8.6000000000003851</v>
      </c>
      <c r="AI94" s="122" t="s">
        <v>247</v>
      </c>
      <c r="AJ94" s="624" t="s">
        <v>247</v>
      </c>
      <c r="AK94" s="122" t="s">
        <v>247</v>
      </c>
      <c r="AL94" s="554" t="s">
        <v>1340</v>
      </c>
      <c r="AM94" s="555">
        <v>6.7367999999999997</v>
      </c>
      <c r="AN94" s="392" t="s">
        <v>1133</v>
      </c>
    </row>
    <row r="95" spans="1:40" s="231" customFormat="1" ht="15.95" customHeight="1">
      <c r="A95" s="214">
        <v>501</v>
      </c>
      <c r="B95" s="215" t="s">
        <v>1195</v>
      </c>
      <c r="C95" s="216" t="s">
        <v>156</v>
      </c>
      <c r="D95" s="217" t="s">
        <v>646</v>
      </c>
      <c r="E95" s="218" t="s">
        <v>157</v>
      </c>
      <c r="F95" s="219" t="s">
        <v>12</v>
      </c>
      <c r="G95" s="220" t="s">
        <v>31</v>
      </c>
      <c r="H95" s="220" t="s">
        <v>541</v>
      </c>
      <c r="I95" s="220" t="s">
        <v>284</v>
      </c>
      <c r="J95" s="220" t="s">
        <v>263</v>
      </c>
      <c r="K95" s="224"/>
      <c r="L95" s="228"/>
      <c r="M95" s="228"/>
      <c r="N95" s="228"/>
      <c r="O95" s="228"/>
      <c r="P95" s="228"/>
      <c r="Q95" s="228"/>
      <c r="R95" s="234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625"/>
      <c r="AK95" s="228" t="s">
        <v>247</v>
      </c>
      <c r="AL95" s="561" t="s">
        <v>544</v>
      </c>
      <c r="AM95" s="562" t="s">
        <v>544</v>
      </c>
      <c r="AN95" s="393" t="s">
        <v>348</v>
      </c>
    </row>
    <row r="96" spans="1:40" ht="15.95" customHeight="1">
      <c r="A96" s="119">
        <v>502</v>
      </c>
      <c r="B96" s="107" t="s">
        <v>1193</v>
      </c>
      <c r="C96" s="114" t="s">
        <v>156</v>
      </c>
      <c r="D96" s="110" t="s">
        <v>639</v>
      </c>
      <c r="E96" s="109" t="s">
        <v>159</v>
      </c>
      <c r="F96" s="111" t="s">
        <v>12</v>
      </c>
      <c r="G96" s="112" t="s">
        <v>31</v>
      </c>
      <c r="H96" s="112" t="s">
        <v>541</v>
      </c>
      <c r="I96" s="112" t="s">
        <v>284</v>
      </c>
      <c r="J96" s="112" t="s">
        <v>263</v>
      </c>
      <c r="K96" s="136" t="s">
        <v>707</v>
      </c>
      <c r="L96" s="122"/>
      <c r="M96" s="122"/>
      <c r="N96" s="122"/>
      <c r="O96" s="122"/>
      <c r="P96" s="122"/>
      <c r="Q96" s="122"/>
      <c r="R96" s="121">
        <v>15.8</v>
      </c>
      <c r="S96" s="135" t="s">
        <v>1072</v>
      </c>
      <c r="T96" s="122"/>
      <c r="U96" s="122"/>
      <c r="V96" s="122"/>
      <c r="W96" s="122"/>
      <c r="X96" s="122">
        <v>-1.8</v>
      </c>
      <c r="Y96" s="139" t="s">
        <v>1072</v>
      </c>
      <c r="Z96" s="122"/>
      <c r="AA96" s="122"/>
      <c r="AB96" s="122"/>
      <c r="AC96" s="122"/>
      <c r="AD96" s="121">
        <v>4.4000000000000004</v>
      </c>
      <c r="AE96" s="139" t="s">
        <v>1070</v>
      </c>
      <c r="AF96" s="122" t="s">
        <v>247</v>
      </c>
      <c r="AG96" s="122" t="s">
        <v>247</v>
      </c>
      <c r="AH96" s="122" t="s">
        <v>247</v>
      </c>
      <c r="AI96" s="121">
        <v>1.2000000000043087</v>
      </c>
      <c r="AJ96" s="126">
        <v>2.0999999999986585</v>
      </c>
      <c r="AK96" s="122" t="s">
        <v>247</v>
      </c>
      <c r="AL96" s="554" t="s">
        <v>1380</v>
      </c>
      <c r="AM96" s="555">
        <v>52.209699999999998</v>
      </c>
      <c r="AN96" s="392"/>
    </row>
    <row r="97" spans="1:40" ht="15.95" customHeight="1">
      <c r="A97" s="119">
        <v>503</v>
      </c>
      <c r="B97" s="107" t="s">
        <v>1194</v>
      </c>
      <c r="C97" s="114" t="s">
        <v>156</v>
      </c>
      <c r="D97" s="110" t="s">
        <v>574</v>
      </c>
      <c r="E97" s="109" t="s">
        <v>1427</v>
      </c>
      <c r="F97" s="111" t="s">
        <v>12</v>
      </c>
      <c r="G97" s="112" t="s">
        <v>31</v>
      </c>
      <c r="H97" s="112" t="s">
        <v>541</v>
      </c>
      <c r="I97" s="112" t="s">
        <v>284</v>
      </c>
      <c r="J97" s="112" t="s">
        <v>263</v>
      </c>
      <c r="K97" s="136" t="s">
        <v>707</v>
      </c>
      <c r="L97" s="122"/>
      <c r="M97" s="122"/>
      <c r="N97" s="122"/>
      <c r="O97" s="122"/>
      <c r="P97" s="122"/>
      <c r="Q97" s="122"/>
      <c r="R97" s="121">
        <v>19.100000000000001</v>
      </c>
      <c r="S97" s="139" t="s">
        <v>1071</v>
      </c>
      <c r="T97" s="122"/>
      <c r="U97" s="122"/>
      <c r="V97" s="122">
        <v>-2.1</v>
      </c>
      <c r="W97" s="125">
        <v>-2.2000000000000002</v>
      </c>
      <c r="X97" s="125">
        <v>1.2</v>
      </c>
      <c r="Y97" s="139" t="s">
        <v>1068</v>
      </c>
      <c r="Z97" s="122"/>
      <c r="AA97" s="122">
        <v>-5.6</v>
      </c>
      <c r="AB97" s="139" t="s">
        <v>1069</v>
      </c>
      <c r="AC97" s="122">
        <v>-0.5</v>
      </c>
      <c r="AD97" s="126">
        <v>0.9</v>
      </c>
      <c r="AE97" s="139" t="s">
        <v>1069</v>
      </c>
      <c r="AF97" s="122">
        <v>-0.79999999999813554</v>
      </c>
      <c r="AG97" s="139" t="s">
        <v>1333</v>
      </c>
      <c r="AH97" s="121">
        <v>4.2000000000044224</v>
      </c>
      <c r="AI97" s="121">
        <v>-0.90000000000145519</v>
      </c>
      <c r="AJ97" s="125" t="s">
        <v>247</v>
      </c>
      <c r="AK97" s="122" t="s">
        <v>247</v>
      </c>
      <c r="AL97" s="554" t="s">
        <v>1352</v>
      </c>
      <c r="AM97" s="555">
        <v>34.584499999999998</v>
      </c>
      <c r="AN97" s="392"/>
    </row>
    <row r="98" spans="1:40" ht="15.95" customHeight="1">
      <c r="A98" s="119">
        <v>504</v>
      </c>
      <c r="B98" s="107" t="s">
        <v>484</v>
      </c>
      <c r="C98" s="114" t="s">
        <v>156</v>
      </c>
      <c r="D98" s="110" t="s">
        <v>560</v>
      </c>
      <c r="E98" s="109" t="s">
        <v>1428</v>
      </c>
      <c r="F98" s="111" t="s">
        <v>9</v>
      </c>
      <c r="G98" s="112" t="s">
        <v>10</v>
      </c>
      <c r="H98" s="112" t="s">
        <v>541</v>
      </c>
      <c r="I98" s="112" t="s">
        <v>281</v>
      </c>
      <c r="J98" s="112" t="s">
        <v>547</v>
      </c>
      <c r="K98" s="136" t="s">
        <v>707</v>
      </c>
      <c r="L98" s="122"/>
      <c r="M98" s="122"/>
      <c r="N98" s="122"/>
      <c r="O98" s="122"/>
      <c r="P98" s="122"/>
      <c r="Q98" s="122"/>
      <c r="R98" s="121">
        <v>26.3</v>
      </c>
      <c r="S98" s="135" t="s">
        <v>1072</v>
      </c>
      <c r="T98" s="122"/>
      <c r="U98" s="122"/>
      <c r="V98" s="122"/>
      <c r="W98" s="122"/>
      <c r="X98" s="121">
        <v>-5.4</v>
      </c>
      <c r="Y98" s="139" t="s">
        <v>1070</v>
      </c>
      <c r="Z98" s="122"/>
      <c r="AA98" s="122"/>
      <c r="AB98" s="122"/>
      <c r="AC98" s="122">
        <v>0.2</v>
      </c>
      <c r="AD98" s="139"/>
      <c r="AE98" s="122"/>
      <c r="AF98" s="126" t="s">
        <v>530</v>
      </c>
      <c r="AG98" s="135" t="s">
        <v>1383</v>
      </c>
      <c r="AH98" s="122" t="s">
        <v>247</v>
      </c>
      <c r="AI98" s="122"/>
      <c r="AJ98" s="122">
        <v>2.0000000000024443</v>
      </c>
      <c r="AK98" s="141" t="s">
        <v>247</v>
      </c>
      <c r="AL98" s="554" t="s">
        <v>1380</v>
      </c>
      <c r="AM98" s="555">
        <v>51.691699999999997</v>
      </c>
      <c r="AN98" s="392" t="s">
        <v>1479</v>
      </c>
    </row>
    <row r="99" spans="1:40" ht="15.95" customHeight="1">
      <c r="A99" s="119">
        <v>505</v>
      </c>
      <c r="B99" s="107" t="s">
        <v>486</v>
      </c>
      <c r="C99" s="114" t="s">
        <v>156</v>
      </c>
      <c r="D99" s="110" t="s">
        <v>719</v>
      </c>
      <c r="E99" s="109" t="s">
        <v>165</v>
      </c>
      <c r="F99" s="111" t="s">
        <v>9</v>
      </c>
      <c r="G99" s="112" t="s">
        <v>10</v>
      </c>
      <c r="H99" s="112" t="s">
        <v>541</v>
      </c>
      <c r="I99" s="112" t="s">
        <v>284</v>
      </c>
      <c r="J99" s="112" t="s">
        <v>263</v>
      </c>
      <c r="K99" s="136" t="s">
        <v>707</v>
      </c>
      <c r="L99" s="122"/>
      <c r="M99" s="122"/>
      <c r="N99" s="122"/>
      <c r="O99" s="122"/>
      <c r="P99" s="122"/>
      <c r="Q99" s="122"/>
      <c r="R99" s="121">
        <v>19.5</v>
      </c>
      <c r="S99" s="139" t="s">
        <v>1071</v>
      </c>
      <c r="T99" s="122"/>
      <c r="U99" s="122"/>
      <c r="V99" s="122">
        <v>-2.2999999999999998</v>
      </c>
      <c r="W99" s="126">
        <v>0.3</v>
      </c>
      <c r="X99" s="139" t="s">
        <v>1071</v>
      </c>
      <c r="Y99" s="122"/>
      <c r="Z99" s="122"/>
      <c r="AA99" s="122">
        <v>6.2</v>
      </c>
      <c r="AB99" s="139" t="s">
        <v>1069</v>
      </c>
      <c r="AC99" s="122">
        <v>-0.7</v>
      </c>
      <c r="AD99" s="139" t="s">
        <v>1068</v>
      </c>
      <c r="AE99" s="122"/>
      <c r="AF99" s="122">
        <v>-1.2000000000043087</v>
      </c>
      <c r="AG99" s="139" t="s">
        <v>1333</v>
      </c>
      <c r="AH99" s="121">
        <v>5.0999999999987722</v>
      </c>
      <c r="AI99" s="139" t="s">
        <v>1073</v>
      </c>
      <c r="AJ99" s="122">
        <v>2.9000000000038995</v>
      </c>
      <c r="AK99" s="141" t="s">
        <v>247</v>
      </c>
      <c r="AL99" s="554" t="s">
        <v>1380</v>
      </c>
      <c r="AM99" s="555">
        <v>35.787199999999999</v>
      </c>
      <c r="AN99" s="392"/>
    </row>
    <row r="100" spans="1:40" ht="15.95" customHeight="1">
      <c r="A100" s="119">
        <v>506</v>
      </c>
      <c r="B100" s="107" t="s">
        <v>1179</v>
      </c>
      <c r="C100" s="114" t="s">
        <v>156</v>
      </c>
      <c r="D100" s="110" t="s">
        <v>712</v>
      </c>
      <c r="E100" s="109" t="s">
        <v>167</v>
      </c>
      <c r="F100" s="111" t="s">
        <v>9</v>
      </c>
      <c r="G100" s="112" t="s">
        <v>10</v>
      </c>
      <c r="H100" s="112" t="s">
        <v>541</v>
      </c>
      <c r="I100" s="112" t="s">
        <v>284</v>
      </c>
      <c r="J100" s="112" t="s">
        <v>263</v>
      </c>
      <c r="K100" s="136" t="s">
        <v>707</v>
      </c>
      <c r="L100" s="122"/>
      <c r="M100" s="122"/>
      <c r="N100" s="122"/>
      <c r="O100" s="122"/>
      <c r="P100" s="122"/>
      <c r="Q100" s="122"/>
      <c r="R100" s="121">
        <v>18.600000000000001</v>
      </c>
      <c r="S100" s="139" t="s">
        <v>1071</v>
      </c>
      <c r="T100" s="122"/>
      <c r="U100" s="122"/>
      <c r="V100" s="122">
        <v>0.4</v>
      </c>
      <c r="W100" s="125">
        <v>-2.1</v>
      </c>
      <c r="X100" s="139" t="s">
        <v>1071</v>
      </c>
      <c r="Y100" s="122"/>
      <c r="Z100" s="122"/>
      <c r="AA100" s="122">
        <v>3.7</v>
      </c>
      <c r="AB100" s="139" t="s">
        <v>1069</v>
      </c>
      <c r="AC100" s="122">
        <v>-0.9</v>
      </c>
      <c r="AD100" s="139" t="s">
        <v>1068</v>
      </c>
      <c r="AE100" s="122"/>
      <c r="AF100" s="122">
        <v>-3.5999999999987153</v>
      </c>
      <c r="AG100" s="139" t="s">
        <v>1333</v>
      </c>
      <c r="AH100" s="121">
        <v>5.2999999999983061</v>
      </c>
      <c r="AI100" s="125" t="s">
        <v>247</v>
      </c>
      <c r="AJ100" s="122" t="s">
        <v>247</v>
      </c>
      <c r="AK100" s="122" t="s">
        <v>247</v>
      </c>
      <c r="AL100" s="554" t="s">
        <v>1340</v>
      </c>
      <c r="AM100" s="555">
        <v>34.5901</v>
      </c>
      <c r="AN100" s="392"/>
    </row>
    <row r="101" spans="1:40" ht="15.95" customHeight="1">
      <c r="A101" s="119">
        <v>507</v>
      </c>
      <c r="B101" s="107" t="s">
        <v>1180</v>
      </c>
      <c r="C101" s="114" t="s">
        <v>156</v>
      </c>
      <c r="D101" s="110" t="s">
        <v>717</v>
      </c>
      <c r="E101" s="109" t="s">
        <v>170</v>
      </c>
      <c r="F101" s="111" t="s">
        <v>9</v>
      </c>
      <c r="G101" s="112" t="s">
        <v>127</v>
      </c>
      <c r="H101" s="112" t="s">
        <v>541</v>
      </c>
      <c r="I101" s="112" t="s">
        <v>141</v>
      </c>
      <c r="J101" s="112" t="s">
        <v>547</v>
      </c>
      <c r="K101" s="136" t="s">
        <v>707</v>
      </c>
      <c r="L101" s="122"/>
      <c r="M101" s="122"/>
      <c r="N101" s="122"/>
      <c r="O101" s="122"/>
      <c r="P101" s="122"/>
      <c r="Q101" s="122"/>
      <c r="R101" s="121">
        <v>13.6</v>
      </c>
      <c r="S101" s="135" t="s">
        <v>1072</v>
      </c>
      <c r="T101" s="122"/>
      <c r="U101" s="122"/>
      <c r="V101" s="122"/>
      <c r="W101" s="122"/>
      <c r="X101" s="121">
        <v>-1.8</v>
      </c>
      <c r="Y101" s="139" t="s">
        <v>1072</v>
      </c>
      <c r="Z101" s="122"/>
      <c r="AA101" s="122"/>
      <c r="AB101" s="122"/>
      <c r="AC101" s="122"/>
      <c r="AD101" s="121">
        <v>2.4</v>
      </c>
      <c r="AE101" s="139" t="s">
        <v>1070</v>
      </c>
      <c r="AF101" s="122" t="s">
        <v>247</v>
      </c>
      <c r="AG101" s="122" t="s">
        <v>247</v>
      </c>
      <c r="AH101" s="122" t="s">
        <v>247</v>
      </c>
      <c r="AI101" s="121">
        <v>2.899999999996794</v>
      </c>
      <c r="AJ101" s="125" t="s">
        <v>247</v>
      </c>
      <c r="AK101" s="122" t="s">
        <v>247</v>
      </c>
      <c r="AL101" s="554" t="s">
        <v>1352</v>
      </c>
      <c r="AM101" s="555">
        <v>106.8322</v>
      </c>
      <c r="AN101" s="392"/>
    </row>
    <row r="102" spans="1:40" ht="15.95" customHeight="1">
      <c r="A102" s="119">
        <v>508</v>
      </c>
      <c r="B102" s="107" t="s">
        <v>490</v>
      </c>
      <c r="C102" s="114" t="s">
        <v>156</v>
      </c>
      <c r="D102" s="110" t="s">
        <v>687</v>
      </c>
      <c r="E102" s="109" t="s">
        <v>172</v>
      </c>
      <c r="F102" s="111" t="s">
        <v>9</v>
      </c>
      <c r="G102" s="112" t="s">
        <v>127</v>
      </c>
      <c r="H102" s="112" t="s">
        <v>541</v>
      </c>
      <c r="I102" s="112" t="s">
        <v>141</v>
      </c>
      <c r="J102" s="112" t="s">
        <v>547</v>
      </c>
      <c r="K102" s="136" t="s">
        <v>707</v>
      </c>
      <c r="L102" s="122"/>
      <c r="M102" s="122"/>
      <c r="N102" s="122"/>
      <c r="O102" s="122"/>
      <c r="P102" s="122"/>
      <c r="Q102" s="122"/>
      <c r="R102" s="121">
        <v>24.1</v>
      </c>
      <c r="S102" s="139" t="s">
        <v>1072</v>
      </c>
      <c r="T102" s="122"/>
      <c r="U102" s="122"/>
      <c r="V102" s="122"/>
      <c r="W102" s="122"/>
      <c r="X102" s="121">
        <v>-7.8</v>
      </c>
      <c r="Y102" s="139" t="s">
        <v>1070</v>
      </c>
      <c r="Z102" s="122"/>
      <c r="AA102" s="122"/>
      <c r="AB102" s="122"/>
      <c r="AC102" s="122">
        <v>2.8</v>
      </c>
      <c r="AD102" s="126">
        <v>0.3</v>
      </c>
      <c r="AE102" s="135" t="s">
        <v>1337</v>
      </c>
      <c r="AF102" s="122" t="s">
        <v>247</v>
      </c>
      <c r="AG102" s="122" t="s">
        <v>247</v>
      </c>
      <c r="AH102" s="121">
        <v>0.59999999999149622</v>
      </c>
      <c r="AI102" s="121">
        <v>1.0000000000047748</v>
      </c>
      <c r="AJ102" s="126">
        <v>2.3000000000052978</v>
      </c>
      <c r="AK102" s="142" t="s">
        <v>247</v>
      </c>
      <c r="AL102" s="554" t="s">
        <v>1380</v>
      </c>
      <c r="AM102" s="555">
        <v>82.771199999999993</v>
      </c>
      <c r="AN102" s="392"/>
    </row>
    <row r="103" spans="1:40" s="231" customFormat="1" ht="15.95" customHeight="1">
      <c r="A103" s="214">
        <v>601</v>
      </c>
      <c r="B103" s="215" t="s">
        <v>491</v>
      </c>
      <c r="C103" s="216" t="s">
        <v>180</v>
      </c>
      <c r="D103" s="217" t="s">
        <v>640</v>
      </c>
      <c r="E103" s="218" t="s">
        <v>181</v>
      </c>
      <c r="F103" s="219" t="s">
        <v>9</v>
      </c>
      <c r="G103" s="220" t="s">
        <v>127</v>
      </c>
      <c r="H103" s="220" t="s">
        <v>541</v>
      </c>
      <c r="I103" s="220" t="s">
        <v>141</v>
      </c>
      <c r="J103" s="220" t="s">
        <v>547</v>
      </c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625"/>
      <c r="AK103" s="228" t="s">
        <v>247</v>
      </c>
      <c r="AL103" s="561" t="s">
        <v>544</v>
      </c>
      <c r="AM103" s="562" t="s">
        <v>544</v>
      </c>
      <c r="AN103" s="393" t="s">
        <v>727</v>
      </c>
    </row>
    <row r="104" spans="1:40" ht="15.95" customHeight="1">
      <c r="A104" s="119">
        <v>602</v>
      </c>
      <c r="B104" s="107" t="s">
        <v>1191</v>
      </c>
      <c r="C104" s="114" t="s">
        <v>180</v>
      </c>
      <c r="D104" s="110" t="s">
        <v>647</v>
      </c>
      <c r="E104" s="109" t="s">
        <v>1429</v>
      </c>
      <c r="F104" s="111" t="s">
        <v>12</v>
      </c>
      <c r="G104" s="112" t="s">
        <v>31</v>
      </c>
      <c r="H104" s="112" t="s">
        <v>541</v>
      </c>
      <c r="I104" s="112" t="s">
        <v>284</v>
      </c>
      <c r="J104" s="112" t="s">
        <v>263</v>
      </c>
      <c r="K104" s="136" t="s">
        <v>707</v>
      </c>
      <c r="L104" s="122"/>
      <c r="M104" s="122"/>
      <c r="N104" s="122"/>
      <c r="O104" s="122"/>
      <c r="P104" s="122"/>
      <c r="Q104" s="122"/>
      <c r="R104" s="121">
        <v>11.5</v>
      </c>
      <c r="S104" s="135" t="s">
        <v>1072</v>
      </c>
      <c r="T104" s="122"/>
      <c r="U104" s="122"/>
      <c r="V104" s="122"/>
      <c r="W104" s="122"/>
      <c r="X104" s="121">
        <v>-2.4</v>
      </c>
      <c r="Y104" s="139" t="s">
        <v>1072</v>
      </c>
      <c r="Z104" s="122"/>
      <c r="AA104" s="122"/>
      <c r="AB104" s="122"/>
      <c r="AC104" s="122"/>
      <c r="AD104" s="121">
        <v>1.3</v>
      </c>
      <c r="AE104" s="139" t="s">
        <v>1070</v>
      </c>
      <c r="AF104" s="122" t="s">
        <v>247</v>
      </c>
      <c r="AG104" s="122" t="s">
        <v>247</v>
      </c>
      <c r="AH104" s="122" t="s">
        <v>247</v>
      </c>
      <c r="AI104" s="121">
        <v>0.50000000000238742</v>
      </c>
      <c r="AJ104" s="125" t="s">
        <v>247</v>
      </c>
      <c r="AK104" s="122" t="s">
        <v>247</v>
      </c>
      <c r="AL104" s="554" t="s">
        <v>1352</v>
      </c>
      <c r="AM104" s="555">
        <v>94.852800000000002</v>
      </c>
      <c r="AN104" s="392"/>
    </row>
    <row r="105" spans="1:40" ht="15.95" customHeight="1">
      <c r="A105" s="119">
        <v>603</v>
      </c>
      <c r="B105" s="107" t="s">
        <v>1192</v>
      </c>
      <c r="C105" s="114" t="s">
        <v>180</v>
      </c>
      <c r="D105" s="110" t="s">
        <v>1468</v>
      </c>
      <c r="E105" s="109" t="s">
        <v>185</v>
      </c>
      <c r="F105" s="111" t="s">
        <v>12</v>
      </c>
      <c r="G105" s="112" t="s">
        <v>31</v>
      </c>
      <c r="H105" s="112" t="s">
        <v>541</v>
      </c>
      <c r="I105" s="112" t="s">
        <v>284</v>
      </c>
      <c r="J105" s="112" t="s">
        <v>263</v>
      </c>
      <c r="K105" s="136" t="s">
        <v>707</v>
      </c>
      <c r="L105" s="122"/>
      <c r="M105" s="122"/>
      <c r="N105" s="122"/>
      <c r="O105" s="122"/>
      <c r="P105" s="122"/>
      <c r="Q105" s="122"/>
      <c r="R105" s="121">
        <v>11.3</v>
      </c>
      <c r="S105" s="135" t="s">
        <v>1072</v>
      </c>
      <c r="T105" s="122"/>
      <c r="U105" s="122"/>
      <c r="V105" s="122"/>
      <c r="W105" s="122"/>
      <c r="X105" s="121">
        <v>-3</v>
      </c>
      <c r="Y105" s="139" t="s">
        <v>1072</v>
      </c>
      <c r="Z105" s="122"/>
      <c r="AA105" s="122"/>
      <c r="AB105" s="122"/>
      <c r="AC105" s="122"/>
      <c r="AD105" s="121">
        <v>1.6</v>
      </c>
      <c r="AE105" s="139" t="s">
        <v>1070</v>
      </c>
      <c r="AF105" s="122" t="s">
        <v>247</v>
      </c>
      <c r="AG105" s="122" t="s">
        <v>247</v>
      </c>
      <c r="AH105" s="122" t="s">
        <v>247</v>
      </c>
      <c r="AI105" s="121">
        <v>1.300000000000523</v>
      </c>
      <c r="AJ105" s="125" t="s">
        <v>247</v>
      </c>
      <c r="AK105" s="122" t="s">
        <v>247</v>
      </c>
      <c r="AL105" s="554" t="s">
        <v>1352</v>
      </c>
      <c r="AM105" s="555">
        <v>75.858500000000006</v>
      </c>
      <c r="AN105" s="392"/>
    </row>
    <row r="106" spans="1:40" ht="15.95" customHeight="1">
      <c r="A106" s="119">
        <v>701</v>
      </c>
      <c r="B106" s="107" t="s">
        <v>366</v>
      </c>
      <c r="C106" s="114" t="s">
        <v>186</v>
      </c>
      <c r="D106" s="110" t="s">
        <v>701</v>
      </c>
      <c r="E106" s="109" t="s">
        <v>187</v>
      </c>
      <c r="F106" s="111" t="s">
        <v>9</v>
      </c>
      <c r="G106" s="112" t="s">
        <v>19</v>
      </c>
      <c r="H106" s="112" t="s">
        <v>541</v>
      </c>
      <c r="I106" s="112" t="s">
        <v>284</v>
      </c>
      <c r="J106" s="112" t="s">
        <v>263</v>
      </c>
      <c r="K106" s="124">
        <v>9</v>
      </c>
      <c r="L106" s="124">
        <v>-4.4000000000000004</v>
      </c>
      <c r="M106" s="124">
        <v>2</v>
      </c>
      <c r="N106" s="123">
        <v>-0.4</v>
      </c>
      <c r="O106" s="123">
        <v>3.70000000000026</v>
      </c>
      <c r="P106" s="128">
        <v>-3.2</v>
      </c>
      <c r="Q106" s="139" t="s">
        <v>637</v>
      </c>
      <c r="R106" s="121">
        <v>9.1</v>
      </c>
      <c r="S106" s="122">
        <v>1.2</v>
      </c>
      <c r="T106" s="125">
        <v>3.9</v>
      </c>
      <c r="U106" s="125">
        <v>1.8</v>
      </c>
      <c r="V106" s="125">
        <v>3.6</v>
      </c>
      <c r="W106" s="126">
        <v>-0.1</v>
      </c>
      <c r="X106" s="121">
        <v>-2.1</v>
      </c>
      <c r="Y106" s="122">
        <v>-1.9</v>
      </c>
      <c r="Z106" s="125">
        <v>1.8</v>
      </c>
      <c r="AA106" s="125">
        <v>0.3</v>
      </c>
      <c r="AB106" s="132">
        <v>0</v>
      </c>
      <c r="AC106" s="133">
        <v>-1.7</v>
      </c>
      <c r="AD106" s="139" t="s">
        <v>1069</v>
      </c>
      <c r="AE106" s="134">
        <v>0.3</v>
      </c>
      <c r="AF106" s="133">
        <v>-0.29999999999930083</v>
      </c>
      <c r="AG106" s="132">
        <v>3.1999999999996476</v>
      </c>
      <c r="AH106" s="479">
        <v>-1.900000000000901</v>
      </c>
      <c r="AI106" s="139" t="s">
        <v>1073</v>
      </c>
      <c r="AJ106" s="134">
        <v>2.9000000000003467</v>
      </c>
      <c r="AK106" s="391">
        <v>2.2999999999999687</v>
      </c>
      <c r="AL106" s="554" t="s">
        <v>1500</v>
      </c>
      <c r="AM106" s="558">
        <v>10.551</v>
      </c>
      <c r="AN106" s="392"/>
    </row>
    <row r="107" spans="1:40" ht="15.95" customHeight="1">
      <c r="A107" s="119">
        <v>702</v>
      </c>
      <c r="B107" s="107" t="s">
        <v>364</v>
      </c>
      <c r="C107" s="114" t="s">
        <v>186</v>
      </c>
      <c r="D107" s="110" t="s">
        <v>561</v>
      </c>
      <c r="E107" s="109" t="s">
        <v>1430</v>
      </c>
      <c r="F107" s="111" t="s">
        <v>9</v>
      </c>
      <c r="G107" s="112" t="s">
        <v>19</v>
      </c>
      <c r="H107" s="112" t="s">
        <v>541</v>
      </c>
      <c r="I107" s="112" t="s">
        <v>54</v>
      </c>
      <c r="J107" s="112" t="s">
        <v>264</v>
      </c>
      <c r="K107" s="124">
        <v>5.7</v>
      </c>
      <c r="L107" s="124">
        <v>5.7</v>
      </c>
      <c r="M107" s="124">
        <v>10.4</v>
      </c>
      <c r="N107" s="123">
        <v>0.6</v>
      </c>
      <c r="O107" s="123">
        <v>3.9999999999995599</v>
      </c>
      <c r="P107" s="128">
        <v>-3.7</v>
      </c>
      <c r="Q107" s="122">
        <v>4</v>
      </c>
      <c r="R107" s="126">
        <v>9.6</v>
      </c>
      <c r="S107" s="122">
        <v>2</v>
      </c>
      <c r="T107" s="125">
        <v>6.9</v>
      </c>
      <c r="U107" s="125">
        <v>-1.2</v>
      </c>
      <c r="V107" s="125">
        <v>3.5</v>
      </c>
      <c r="W107" s="126">
        <v>-0.1</v>
      </c>
      <c r="X107" s="121">
        <v>-2.2000000000000002</v>
      </c>
      <c r="Y107" s="125">
        <v>1</v>
      </c>
      <c r="Z107" s="125">
        <v>2.5</v>
      </c>
      <c r="AA107" s="125">
        <v>-0.9</v>
      </c>
      <c r="AB107" s="132">
        <v>2.2000000000000002</v>
      </c>
      <c r="AC107" s="133">
        <v>-4.9000000000000004</v>
      </c>
      <c r="AD107" s="132">
        <v>0.4</v>
      </c>
      <c r="AE107" s="134">
        <v>0.2</v>
      </c>
      <c r="AF107" s="133">
        <v>-0.39999999999995595</v>
      </c>
      <c r="AG107" s="132">
        <v>0.19999999999953388</v>
      </c>
      <c r="AH107" s="479">
        <v>0.39999999999995595</v>
      </c>
      <c r="AI107" s="479">
        <v>5.3999999999998494</v>
      </c>
      <c r="AJ107" s="133">
        <v>-1.2999999999996348</v>
      </c>
      <c r="AK107" s="391">
        <v>2.9000000000003467</v>
      </c>
      <c r="AL107" s="554" t="s">
        <v>1500</v>
      </c>
      <c r="AM107" s="558">
        <v>6.31</v>
      </c>
      <c r="AN107" s="392" t="s">
        <v>283</v>
      </c>
    </row>
    <row r="108" spans="1:40" s="231" customFormat="1" ht="15.95" customHeight="1">
      <c r="A108" s="214">
        <v>703</v>
      </c>
      <c r="B108" s="215" t="s">
        <v>395</v>
      </c>
      <c r="C108" s="216" t="s">
        <v>186</v>
      </c>
      <c r="D108" s="217" t="s">
        <v>671</v>
      </c>
      <c r="E108" s="218" t="s">
        <v>299</v>
      </c>
      <c r="F108" s="219" t="s">
        <v>12</v>
      </c>
      <c r="G108" s="220" t="s">
        <v>19</v>
      </c>
      <c r="H108" s="220" t="s">
        <v>541</v>
      </c>
      <c r="I108" s="220" t="s">
        <v>539</v>
      </c>
      <c r="J108" s="220" t="s">
        <v>263</v>
      </c>
      <c r="K108" s="233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625"/>
      <c r="AK108" s="228" t="s">
        <v>247</v>
      </c>
      <c r="AL108" s="561" t="s">
        <v>544</v>
      </c>
      <c r="AM108" s="562" t="s">
        <v>544</v>
      </c>
      <c r="AN108" s="393" t="s">
        <v>728</v>
      </c>
    </row>
    <row r="109" spans="1:40" ht="15.95" customHeight="1">
      <c r="A109" s="119">
        <v>704</v>
      </c>
      <c r="B109" s="107" t="s">
        <v>394</v>
      </c>
      <c r="C109" s="114" t="s">
        <v>186</v>
      </c>
      <c r="D109" s="110" t="s">
        <v>648</v>
      </c>
      <c r="E109" s="109" t="s">
        <v>1431</v>
      </c>
      <c r="F109" s="111" t="s">
        <v>12</v>
      </c>
      <c r="G109" s="112" t="s">
        <v>19</v>
      </c>
      <c r="H109" s="112" t="s">
        <v>541</v>
      </c>
      <c r="I109" s="112" t="s">
        <v>284</v>
      </c>
      <c r="J109" s="112" t="s">
        <v>263</v>
      </c>
      <c r="K109" s="124">
        <v>2.5</v>
      </c>
      <c r="L109" s="124">
        <v>-2.5</v>
      </c>
      <c r="M109" s="124">
        <v>2</v>
      </c>
      <c r="N109" s="123">
        <v>-0.3</v>
      </c>
      <c r="O109" s="123">
        <v>1.1999999999972</v>
      </c>
      <c r="P109" s="128">
        <v>-1.1000000000000001</v>
      </c>
      <c r="Q109" s="122">
        <v>1.3</v>
      </c>
      <c r="R109" s="126">
        <v>1.9</v>
      </c>
      <c r="S109" s="122">
        <v>1.6</v>
      </c>
      <c r="T109" s="125">
        <v>1.9</v>
      </c>
      <c r="U109" s="125">
        <v>-2.6</v>
      </c>
      <c r="V109" s="125">
        <v>2.1</v>
      </c>
      <c r="W109" s="126">
        <v>-2.8</v>
      </c>
      <c r="X109" s="121">
        <v>0.2</v>
      </c>
      <c r="Y109" s="125">
        <v>-0.4</v>
      </c>
      <c r="Z109" s="125">
        <v>0.7</v>
      </c>
      <c r="AA109" s="125">
        <v>-1.2</v>
      </c>
      <c r="AB109" s="132">
        <v>1.2</v>
      </c>
      <c r="AC109" s="133">
        <v>1</v>
      </c>
      <c r="AD109" s="132">
        <v>-0.5</v>
      </c>
      <c r="AE109" s="134">
        <v>0</v>
      </c>
      <c r="AF109" s="133">
        <v>-0.39999999999906777</v>
      </c>
      <c r="AG109" s="132">
        <v>0.89999999999434976</v>
      </c>
      <c r="AH109" s="479">
        <v>0.30000000000285354</v>
      </c>
      <c r="AI109" s="479">
        <v>-0.10000000000331966</v>
      </c>
      <c r="AJ109" s="133">
        <v>-0.499999999995282</v>
      </c>
      <c r="AK109" s="391">
        <v>0.29999999999574811</v>
      </c>
      <c r="AL109" s="554" t="s">
        <v>1500</v>
      </c>
      <c r="AM109" s="558">
        <v>33.664900000000003</v>
      </c>
      <c r="AN109" s="392"/>
    </row>
    <row r="110" spans="1:40" ht="15.95" customHeight="1">
      <c r="A110" s="119">
        <v>705</v>
      </c>
      <c r="B110" s="107" t="s">
        <v>393</v>
      </c>
      <c r="C110" s="114" t="s">
        <v>186</v>
      </c>
      <c r="D110" s="110" t="s">
        <v>702</v>
      </c>
      <c r="E110" s="109" t="s">
        <v>190</v>
      </c>
      <c r="F110" s="111" t="s">
        <v>12</v>
      </c>
      <c r="G110" s="112" t="s">
        <v>19</v>
      </c>
      <c r="H110" s="112" t="s">
        <v>541</v>
      </c>
      <c r="I110" s="112" t="s">
        <v>284</v>
      </c>
      <c r="J110" s="112" t="s">
        <v>263</v>
      </c>
      <c r="K110" s="124">
        <v>0.4</v>
      </c>
      <c r="L110" s="124">
        <v>-0.7</v>
      </c>
      <c r="M110" s="124">
        <v>1.7</v>
      </c>
      <c r="N110" s="123">
        <v>-0.9</v>
      </c>
      <c r="O110" s="123">
        <v>1.29999999999697</v>
      </c>
      <c r="P110" s="128">
        <v>-3.3</v>
      </c>
      <c r="Q110" s="122">
        <v>2.1</v>
      </c>
      <c r="R110" s="126">
        <v>0.8</v>
      </c>
      <c r="S110" s="122">
        <v>0.3</v>
      </c>
      <c r="T110" s="125">
        <v>0.7</v>
      </c>
      <c r="U110" s="125">
        <v>-0.3</v>
      </c>
      <c r="V110" s="125">
        <v>3</v>
      </c>
      <c r="W110" s="126">
        <v>-2.9</v>
      </c>
      <c r="X110" s="121">
        <v>-0.7</v>
      </c>
      <c r="Y110" s="125">
        <v>-2.1</v>
      </c>
      <c r="Z110" s="125">
        <v>2.7</v>
      </c>
      <c r="AA110" s="125">
        <v>-0.6</v>
      </c>
      <c r="AB110" s="132">
        <v>-0.3</v>
      </c>
      <c r="AC110" s="133">
        <v>0.2</v>
      </c>
      <c r="AD110" s="132">
        <v>-0.8</v>
      </c>
      <c r="AE110" s="134">
        <v>0.5</v>
      </c>
      <c r="AF110" s="133">
        <v>-1.300000000000523</v>
      </c>
      <c r="AG110" s="132">
        <v>0.90000000000145519</v>
      </c>
      <c r="AH110" s="479">
        <v>0.19999999999953388</v>
      </c>
      <c r="AI110" s="479">
        <v>-0.80000000000168825</v>
      </c>
      <c r="AJ110" s="133">
        <v>0.60000000000215437</v>
      </c>
      <c r="AK110" s="391">
        <v>0.49999999999883471</v>
      </c>
      <c r="AL110" s="554" t="s">
        <v>1500</v>
      </c>
      <c r="AM110" s="558">
        <v>26.8246</v>
      </c>
      <c r="AN110" s="392"/>
    </row>
    <row r="111" spans="1:40" ht="15.95" customHeight="1">
      <c r="A111" s="119">
        <v>706</v>
      </c>
      <c r="B111" s="107" t="s">
        <v>390</v>
      </c>
      <c r="C111" s="114" t="s">
        <v>186</v>
      </c>
      <c r="D111" s="110" t="s">
        <v>702</v>
      </c>
      <c r="E111" s="109" t="s">
        <v>190</v>
      </c>
      <c r="F111" s="111" t="s">
        <v>9</v>
      </c>
      <c r="G111" s="112" t="s">
        <v>19</v>
      </c>
      <c r="H111" s="112" t="s">
        <v>541</v>
      </c>
      <c r="I111" s="112" t="s">
        <v>284</v>
      </c>
      <c r="J111" s="112" t="s">
        <v>263</v>
      </c>
      <c r="K111" s="124">
        <v>0.9</v>
      </c>
      <c r="L111" s="124">
        <v>0.3</v>
      </c>
      <c r="M111" s="124">
        <v>2.7</v>
      </c>
      <c r="N111" s="123">
        <v>-0.2</v>
      </c>
      <c r="O111" s="123">
        <v>1.6999999999995901</v>
      </c>
      <c r="P111" s="128">
        <v>-3</v>
      </c>
      <c r="Q111" s="122">
        <v>2.7</v>
      </c>
      <c r="R111" s="126">
        <v>1.2</v>
      </c>
      <c r="S111" s="122">
        <v>0.9</v>
      </c>
      <c r="T111" s="125">
        <v>1.3</v>
      </c>
      <c r="U111" s="125">
        <v>-0.1</v>
      </c>
      <c r="V111" s="139" t="s">
        <v>1071</v>
      </c>
      <c r="W111" s="122"/>
      <c r="X111" s="122"/>
      <c r="Y111" s="122">
        <v>-1.3</v>
      </c>
      <c r="Z111" s="125">
        <v>3.8</v>
      </c>
      <c r="AA111" s="125">
        <v>-0.3</v>
      </c>
      <c r="AB111" s="132">
        <v>0</v>
      </c>
      <c r="AC111" s="133">
        <v>0.4</v>
      </c>
      <c r="AD111" s="132">
        <v>-0.4</v>
      </c>
      <c r="AE111" s="134">
        <v>0.8</v>
      </c>
      <c r="AF111" s="133">
        <v>-0.70000000000192131</v>
      </c>
      <c r="AG111" s="132">
        <v>1.5000000000000568</v>
      </c>
      <c r="AH111" s="479">
        <v>0.80000000000168825</v>
      </c>
      <c r="AI111" s="479">
        <v>-0.10000000000331966</v>
      </c>
      <c r="AJ111" s="133">
        <v>1.1000000000009891</v>
      </c>
      <c r="AK111" s="391">
        <v>1.0000000000012221</v>
      </c>
      <c r="AL111" s="554" t="s">
        <v>1500</v>
      </c>
      <c r="AM111" s="558">
        <v>26.4819</v>
      </c>
      <c r="AN111" s="392"/>
    </row>
    <row r="112" spans="1:40" ht="15.95" customHeight="1">
      <c r="A112" s="119">
        <v>707</v>
      </c>
      <c r="B112" s="107" t="s">
        <v>386</v>
      </c>
      <c r="C112" s="114" t="s">
        <v>186</v>
      </c>
      <c r="D112" s="110" t="s">
        <v>703</v>
      </c>
      <c r="E112" s="109" t="s">
        <v>192</v>
      </c>
      <c r="F112" s="111" t="s">
        <v>9</v>
      </c>
      <c r="G112" s="112" t="s">
        <v>19</v>
      </c>
      <c r="H112" s="112" t="s">
        <v>541</v>
      </c>
      <c r="I112" s="112" t="s">
        <v>54</v>
      </c>
      <c r="J112" s="112" t="s">
        <v>264</v>
      </c>
      <c r="K112" s="124">
        <v>6.6</v>
      </c>
      <c r="L112" s="124">
        <v>3</v>
      </c>
      <c r="M112" s="124">
        <v>0.3</v>
      </c>
      <c r="N112" s="123">
        <v>0</v>
      </c>
      <c r="O112" s="123">
        <v>0.70000000000192097</v>
      </c>
      <c r="P112" s="128">
        <v>-4</v>
      </c>
      <c r="Q112" s="122">
        <v>4.5</v>
      </c>
      <c r="R112" s="139" t="s">
        <v>636</v>
      </c>
      <c r="S112" s="122">
        <v>2.6</v>
      </c>
      <c r="T112" s="125">
        <v>1.1000000000000001</v>
      </c>
      <c r="U112" s="125">
        <v>1.4</v>
      </c>
      <c r="V112" s="125">
        <v>1.4</v>
      </c>
      <c r="W112" s="126">
        <v>-2.5</v>
      </c>
      <c r="X112" s="121">
        <v>-0.9</v>
      </c>
      <c r="Y112" s="125">
        <v>-1.5</v>
      </c>
      <c r="Z112" s="125">
        <v>3.8</v>
      </c>
      <c r="AA112" s="125">
        <v>-3.8</v>
      </c>
      <c r="AB112" s="139" t="s">
        <v>1069</v>
      </c>
      <c r="AC112" s="122">
        <v>0.2</v>
      </c>
      <c r="AD112" s="126">
        <v>0.5</v>
      </c>
      <c r="AE112" s="122">
        <v>-0.4</v>
      </c>
      <c r="AF112" s="125">
        <v>1.5999999999998238</v>
      </c>
      <c r="AG112" s="139" t="s">
        <v>1333</v>
      </c>
      <c r="AH112" s="121">
        <v>-1.4000000000002899</v>
      </c>
      <c r="AI112" s="121">
        <v>1.5999999999998238</v>
      </c>
      <c r="AJ112" s="125" t="s">
        <v>247</v>
      </c>
      <c r="AK112" s="122" t="s">
        <v>247</v>
      </c>
      <c r="AL112" s="554" t="s">
        <v>1352</v>
      </c>
      <c r="AM112" s="558">
        <v>9.0615000000000006</v>
      </c>
      <c r="AN112" s="392"/>
    </row>
    <row r="113" spans="1:40" ht="15.95" customHeight="1">
      <c r="A113" s="119">
        <v>708</v>
      </c>
      <c r="B113" s="107" t="s">
        <v>388</v>
      </c>
      <c r="C113" s="114" t="s">
        <v>186</v>
      </c>
      <c r="D113" s="110" t="s">
        <v>562</v>
      </c>
      <c r="E113" s="109" t="s">
        <v>1432</v>
      </c>
      <c r="F113" s="111" t="s">
        <v>9</v>
      </c>
      <c r="G113" s="112" t="s">
        <v>19</v>
      </c>
      <c r="H113" s="112" t="s">
        <v>541</v>
      </c>
      <c r="I113" s="112" t="s">
        <v>539</v>
      </c>
      <c r="J113" s="112" t="s">
        <v>264</v>
      </c>
      <c r="K113" s="124">
        <v>5.6</v>
      </c>
      <c r="L113" s="124">
        <v>-0.5</v>
      </c>
      <c r="M113" s="124">
        <v>3.3</v>
      </c>
      <c r="N113" s="123">
        <v>-0.6</v>
      </c>
      <c r="O113" s="123">
        <v>0.799999999999912</v>
      </c>
      <c r="P113" s="128">
        <v>-3.4</v>
      </c>
      <c r="Q113" s="122">
        <v>3.4</v>
      </c>
      <c r="R113" s="139" t="s">
        <v>636</v>
      </c>
      <c r="S113" s="122">
        <v>3.8</v>
      </c>
      <c r="T113" s="125">
        <v>1.2</v>
      </c>
      <c r="U113" s="125">
        <v>0.6</v>
      </c>
      <c r="V113" s="139" t="s">
        <v>1071</v>
      </c>
      <c r="W113" s="122"/>
      <c r="X113" s="122"/>
      <c r="Y113" s="121">
        <v>-3.5</v>
      </c>
      <c r="Z113" s="125">
        <v>3.7</v>
      </c>
      <c r="AA113" s="139" t="s">
        <v>1071</v>
      </c>
      <c r="AB113" s="122"/>
      <c r="AC113" s="122"/>
      <c r="AD113" s="121">
        <v>-3.8</v>
      </c>
      <c r="AE113" s="122">
        <v>0.5</v>
      </c>
      <c r="AF113" s="139" t="s">
        <v>1071</v>
      </c>
      <c r="AG113" s="122" t="s">
        <v>247</v>
      </c>
      <c r="AH113" s="122" t="s">
        <v>247</v>
      </c>
      <c r="AI113" s="121">
        <v>1.5000000000000568</v>
      </c>
      <c r="AJ113" s="125" t="s">
        <v>247</v>
      </c>
      <c r="AK113" s="122" t="s">
        <v>247</v>
      </c>
      <c r="AL113" s="554" t="s">
        <v>1352</v>
      </c>
      <c r="AM113" s="558">
        <v>12.725199999999999</v>
      </c>
      <c r="AN113" s="392"/>
    </row>
    <row r="114" spans="1:40" ht="15.95" customHeight="1">
      <c r="A114" s="119">
        <v>709</v>
      </c>
      <c r="B114" s="107" t="s">
        <v>391</v>
      </c>
      <c r="C114" s="114" t="s">
        <v>186</v>
      </c>
      <c r="D114" s="110" t="s">
        <v>575</v>
      </c>
      <c r="E114" s="109" t="s">
        <v>195</v>
      </c>
      <c r="F114" s="111" t="s">
        <v>12</v>
      </c>
      <c r="G114" s="112" t="s">
        <v>19</v>
      </c>
      <c r="H114" s="112" t="s">
        <v>541</v>
      </c>
      <c r="I114" s="112" t="s">
        <v>284</v>
      </c>
      <c r="J114" s="112" t="s">
        <v>263</v>
      </c>
      <c r="K114" s="136" t="s">
        <v>707</v>
      </c>
      <c r="L114" s="122"/>
      <c r="M114" s="122"/>
      <c r="N114" s="122"/>
      <c r="O114" s="122"/>
      <c r="P114" s="122"/>
      <c r="Q114" s="122"/>
      <c r="R114" s="121">
        <v>3.3</v>
      </c>
      <c r="S114" s="139" t="s">
        <v>1071</v>
      </c>
      <c r="T114" s="122"/>
      <c r="U114" s="122"/>
      <c r="V114" s="122">
        <v>4</v>
      </c>
      <c r="W114" s="126">
        <v>-3.3</v>
      </c>
      <c r="X114" s="121">
        <v>-1</v>
      </c>
      <c r="Y114" s="125">
        <v>-2.2000000000000002</v>
      </c>
      <c r="Z114" s="125">
        <v>3.3</v>
      </c>
      <c r="AA114" s="125">
        <v>-0.1</v>
      </c>
      <c r="AB114" s="132">
        <v>-1</v>
      </c>
      <c r="AC114" s="133">
        <v>0.2</v>
      </c>
      <c r="AD114" s="132">
        <v>-0.8</v>
      </c>
      <c r="AE114" s="139" t="s">
        <v>1069</v>
      </c>
      <c r="AF114" s="134">
        <v>-0.19999999999953388</v>
      </c>
      <c r="AG114" s="132">
        <v>1.4000000000002899</v>
      </c>
      <c r="AH114" s="479">
        <v>0.59999999999860165</v>
      </c>
      <c r="AI114" s="479">
        <v>-0.49999999999883471</v>
      </c>
      <c r="AJ114" s="133">
        <v>0.29999999999930083</v>
      </c>
      <c r="AK114" s="391">
        <v>9.9999999999766942E-2</v>
      </c>
      <c r="AL114" s="554" t="s">
        <v>1500</v>
      </c>
      <c r="AM114" s="555">
        <v>23.647600000000001</v>
      </c>
      <c r="AN114" s="392"/>
    </row>
    <row r="115" spans="1:40" ht="15.95" customHeight="1">
      <c r="A115" s="119">
        <v>710</v>
      </c>
      <c r="B115" s="107" t="s">
        <v>350</v>
      </c>
      <c r="C115" s="114" t="s">
        <v>285</v>
      </c>
      <c r="D115" s="110" t="s">
        <v>672</v>
      </c>
      <c r="E115" s="109" t="s">
        <v>254</v>
      </c>
      <c r="F115" s="111" t="s">
        <v>287</v>
      </c>
      <c r="G115" s="112" t="s">
        <v>255</v>
      </c>
      <c r="H115" s="112" t="s">
        <v>542</v>
      </c>
      <c r="I115" s="112" t="s">
        <v>539</v>
      </c>
      <c r="J115" s="112" t="s">
        <v>263</v>
      </c>
      <c r="K115" s="138" t="s">
        <v>289</v>
      </c>
      <c r="L115" s="135" t="s">
        <v>256</v>
      </c>
      <c r="M115" s="124">
        <v>0.3</v>
      </c>
      <c r="N115" s="124">
        <v>-1.8</v>
      </c>
      <c r="O115" s="124">
        <v>2.9400000000006101</v>
      </c>
      <c r="P115" s="128">
        <v>-2.9</v>
      </c>
      <c r="Q115" s="122">
        <v>1.3</v>
      </c>
      <c r="R115" s="126">
        <v>1.6</v>
      </c>
      <c r="S115" s="125">
        <v>1.5</v>
      </c>
      <c r="T115" s="125">
        <v>1.1000000000000001</v>
      </c>
      <c r="U115" s="125">
        <v>0.8</v>
      </c>
      <c r="V115" s="139" t="s">
        <v>1071</v>
      </c>
      <c r="W115" s="122"/>
      <c r="X115" s="122"/>
      <c r="Y115" s="122">
        <v>0.3</v>
      </c>
      <c r="Z115" s="125">
        <v>1.1000000000000001</v>
      </c>
      <c r="AA115" s="125">
        <v>-1</v>
      </c>
      <c r="AB115" s="132">
        <v>-0.1</v>
      </c>
      <c r="AC115" s="133">
        <v>-0.7</v>
      </c>
      <c r="AD115" s="132">
        <v>-0.5</v>
      </c>
      <c r="AE115" s="134">
        <v>1.8</v>
      </c>
      <c r="AF115" s="133">
        <v>-2.0000000000006679</v>
      </c>
      <c r="AG115" s="132">
        <v>1.1999999999989797</v>
      </c>
      <c r="AH115" s="479">
        <v>-1.1999999999989797</v>
      </c>
      <c r="AI115" s="479">
        <v>-9.9999999999766942E-2</v>
      </c>
      <c r="AJ115" s="133">
        <v>0.19999999999953388</v>
      </c>
      <c r="AK115" s="391">
        <v>2.7000000000008129</v>
      </c>
      <c r="AL115" s="554" t="s">
        <v>1500</v>
      </c>
      <c r="AM115" s="558">
        <v>12.446199999999999</v>
      </c>
      <c r="AN115" s="392"/>
    </row>
    <row r="116" spans="1:40" s="231" customFormat="1" ht="15.95" customHeight="1">
      <c r="A116" s="214">
        <v>801</v>
      </c>
      <c r="B116" s="215" t="s">
        <v>493</v>
      </c>
      <c r="C116" s="216" t="s">
        <v>196</v>
      </c>
      <c r="D116" s="217" t="s">
        <v>576</v>
      </c>
      <c r="E116" s="218" t="s">
        <v>198</v>
      </c>
      <c r="F116" s="219" t="s">
        <v>9</v>
      </c>
      <c r="G116" s="220" t="s">
        <v>10</v>
      </c>
      <c r="H116" s="220" t="s">
        <v>541</v>
      </c>
      <c r="I116" s="220" t="s">
        <v>141</v>
      </c>
      <c r="J116" s="220" t="s">
        <v>547</v>
      </c>
      <c r="K116" s="233" t="s">
        <v>707</v>
      </c>
      <c r="L116" s="228"/>
      <c r="M116" s="228"/>
      <c r="N116" s="228"/>
      <c r="O116" s="228"/>
      <c r="P116" s="228"/>
      <c r="Q116" s="228"/>
      <c r="R116" s="228">
        <v>24.4</v>
      </c>
      <c r="S116" s="225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  <c r="AF116" s="228" t="s">
        <v>247</v>
      </c>
      <c r="AG116" s="228" t="s">
        <v>247</v>
      </c>
      <c r="AH116" s="228" t="s">
        <v>247</v>
      </c>
      <c r="AI116" s="228" t="s">
        <v>247</v>
      </c>
      <c r="AJ116" s="625" t="s">
        <v>247</v>
      </c>
      <c r="AK116" s="228" t="s">
        <v>247</v>
      </c>
      <c r="AL116" s="556" t="s">
        <v>555</v>
      </c>
      <c r="AM116" s="557">
        <v>28.292300000000001</v>
      </c>
      <c r="AN116" s="393" t="s">
        <v>1377</v>
      </c>
    </row>
    <row r="117" spans="1:40" ht="15.95" customHeight="1">
      <c r="A117" s="119">
        <v>802</v>
      </c>
      <c r="B117" s="107" t="s">
        <v>494</v>
      </c>
      <c r="C117" s="114" t="s">
        <v>196</v>
      </c>
      <c r="D117" s="110" t="s">
        <v>1395</v>
      </c>
      <c r="E117" s="109" t="s">
        <v>1433</v>
      </c>
      <c r="F117" s="111" t="s">
        <v>12</v>
      </c>
      <c r="G117" s="112" t="s">
        <v>10</v>
      </c>
      <c r="H117" s="112" t="s">
        <v>541</v>
      </c>
      <c r="I117" s="112" t="s">
        <v>141</v>
      </c>
      <c r="J117" s="112" t="s">
        <v>547</v>
      </c>
      <c r="K117" s="136" t="s">
        <v>707</v>
      </c>
      <c r="L117" s="122"/>
      <c r="M117" s="122"/>
      <c r="N117" s="122"/>
      <c r="O117" s="122"/>
      <c r="P117" s="122"/>
      <c r="Q117" s="122"/>
      <c r="R117" s="121">
        <v>25.1</v>
      </c>
      <c r="S117" s="135" t="s">
        <v>1070</v>
      </c>
      <c r="T117" s="122"/>
      <c r="U117" s="122"/>
      <c r="V117" s="122"/>
      <c r="W117" s="122">
        <v>4.8</v>
      </c>
      <c r="X117" s="125"/>
      <c r="Y117" s="138" t="s">
        <v>260</v>
      </c>
      <c r="Z117" s="122"/>
      <c r="AA117" s="138" t="s">
        <v>530</v>
      </c>
      <c r="AB117" s="139" t="s">
        <v>1069</v>
      </c>
      <c r="AC117" s="122">
        <v>0.1</v>
      </c>
      <c r="AD117" s="139" t="s">
        <v>1068</v>
      </c>
      <c r="AE117" s="122"/>
      <c r="AF117" s="122">
        <v>2.8000000000005798</v>
      </c>
      <c r="AG117" s="139" t="s">
        <v>1333</v>
      </c>
      <c r="AH117" s="121">
        <v>2.400000000001512</v>
      </c>
      <c r="AI117" s="139" t="s">
        <v>1073</v>
      </c>
      <c r="AJ117" s="122">
        <v>0.49999999999883471</v>
      </c>
      <c r="AK117" s="141" t="s">
        <v>247</v>
      </c>
      <c r="AL117" s="554" t="s">
        <v>1380</v>
      </c>
      <c r="AM117" s="555">
        <v>19.467700000000001</v>
      </c>
      <c r="AN117" s="392"/>
    </row>
    <row r="118" spans="1:40" ht="15.95" customHeight="1">
      <c r="A118" s="119">
        <v>803</v>
      </c>
      <c r="B118" s="107" t="s">
        <v>495</v>
      </c>
      <c r="C118" s="114" t="s">
        <v>196</v>
      </c>
      <c r="D118" s="110" t="s">
        <v>688</v>
      </c>
      <c r="E118" s="109" t="s">
        <v>1434</v>
      </c>
      <c r="F118" s="111" t="s">
        <v>12</v>
      </c>
      <c r="G118" s="112" t="s">
        <v>10</v>
      </c>
      <c r="H118" s="112" t="s">
        <v>541</v>
      </c>
      <c r="I118" s="112" t="s">
        <v>141</v>
      </c>
      <c r="J118" s="112" t="s">
        <v>547</v>
      </c>
      <c r="K118" s="136" t="s">
        <v>707</v>
      </c>
      <c r="L118" s="122"/>
      <c r="M118" s="122"/>
      <c r="N118" s="122"/>
      <c r="O118" s="122"/>
      <c r="P118" s="122"/>
      <c r="Q118" s="122"/>
      <c r="R118" s="121">
        <v>29.9</v>
      </c>
      <c r="S118" s="135" t="s">
        <v>1070</v>
      </c>
      <c r="T118" s="122"/>
      <c r="U118" s="122"/>
      <c r="V118" s="122"/>
      <c r="W118" s="122">
        <v>3.2</v>
      </c>
      <c r="X118" s="139" t="s">
        <v>1072</v>
      </c>
      <c r="Y118" s="122"/>
      <c r="Z118" s="122"/>
      <c r="AA118" s="122"/>
      <c r="AB118" s="122"/>
      <c r="AC118" s="122">
        <v>8.9</v>
      </c>
      <c r="AD118" s="139" t="s">
        <v>1336</v>
      </c>
      <c r="AE118" s="122"/>
      <c r="AF118" s="122" t="s">
        <v>247</v>
      </c>
      <c r="AG118" s="122" t="s">
        <v>247</v>
      </c>
      <c r="AH118" s="121">
        <v>3.2999999999958618</v>
      </c>
      <c r="AI118" s="122" t="s">
        <v>247</v>
      </c>
      <c r="AJ118" s="122" t="s">
        <v>247</v>
      </c>
      <c r="AK118" s="122" t="s">
        <v>247</v>
      </c>
      <c r="AL118" s="554" t="s">
        <v>1340</v>
      </c>
      <c r="AM118" s="555">
        <v>47.150100000000002</v>
      </c>
      <c r="AN118" s="392"/>
    </row>
    <row r="119" spans="1:40" s="231" customFormat="1" ht="15.95" customHeight="1">
      <c r="A119" s="214">
        <v>804</v>
      </c>
      <c r="B119" s="215" t="s">
        <v>497</v>
      </c>
      <c r="C119" s="216" t="s">
        <v>196</v>
      </c>
      <c r="D119" s="217" t="s">
        <v>704</v>
      </c>
      <c r="E119" s="218" t="s">
        <v>251</v>
      </c>
      <c r="F119" s="219" t="s">
        <v>9</v>
      </c>
      <c r="G119" s="220" t="s">
        <v>10</v>
      </c>
      <c r="H119" s="220" t="s">
        <v>541</v>
      </c>
      <c r="I119" s="220" t="s">
        <v>141</v>
      </c>
      <c r="J119" s="220" t="s">
        <v>547</v>
      </c>
      <c r="K119" s="233" t="s">
        <v>707</v>
      </c>
      <c r="L119" s="228"/>
      <c r="M119" s="228"/>
      <c r="N119" s="228"/>
      <c r="O119" s="228"/>
      <c r="P119" s="228"/>
      <c r="Q119" s="228"/>
      <c r="R119" s="229">
        <v>28.5</v>
      </c>
      <c r="S119" s="225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32"/>
      <c r="AE119" s="228"/>
      <c r="AF119" s="228" t="s">
        <v>247</v>
      </c>
      <c r="AG119" s="228" t="s">
        <v>247</v>
      </c>
      <c r="AH119" s="228" t="s">
        <v>247</v>
      </c>
      <c r="AI119" s="228" t="s">
        <v>247</v>
      </c>
      <c r="AJ119" s="625" t="s">
        <v>247</v>
      </c>
      <c r="AK119" s="228" t="s">
        <v>247</v>
      </c>
      <c r="AL119" s="556" t="s">
        <v>555</v>
      </c>
      <c r="AM119" s="557">
        <v>39.122199999999999</v>
      </c>
      <c r="AN119" s="393" t="s">
        <v>1377</v>
      </c>
    </row>
    <row r="120" spans="1:40" ht="15.95" customHeight="1">
      <c r="A120" s="119">
        <v>805</v>
      </c>
      <c r="B120" s="107" t="s">
        <v>499</v>
      </c>
      <c r="C120" s="114" t="s">
        <v>196</v>
      </c>
      <c r="D120" s="110" t="s">
        <v>689</v>
      </c>
      <c r="E120" s="109" t="s">
        <v>205</v>
      </c>
      <c r="F120" s="111" t="s">
        <v>9</v>
      </c>
      <c r="G120" s="112" t="s">
        <v>127</v>
      </c>
      <c r="H120" s="112" t="s">
        <v>541</v>
      </c>
      <c r="I120" s="112" t="s">
        <v>141</v>
      </c>
      <c r="J120" s="112" t="s">
        <v>547</v>
      </c>
      <c r="K120" s="136" t="s">
        <v>707</v>
      </c>
      <c r="L120" s="122"/>
      <c r="M120" s="122"/>
      <c r="N120" s="122"/>
      <c r="O120" s="122"/>
      <c r="P120" s="122"/>
      <c r="Q120" s="122"/>
      <c r="R120" s="121">
        <v>31.9</v>
      </c>
      <c r="S120" s="135" t="s">
        <v>1070</v>
      </c>
      <c r="T120" s="122"/>
      <c r="U120" s="122"/>
      <c r="V120" s="122"/>
      <c r="W120" s="122">
        <v>1.8</v>
      </c>
      <c r="X120" s="139" t="s">
        <v>1072</v>
      </c>
      <c r="Y120" s="122"/>
      <c r="Z120" s="122"/>
      <c r="AA120" s="122"/>
      <c r="AB120" s="122"/>
      <c r="AC120" s="122">
        <v>11.2</v>
      </c>
      <c r="AD120" s="139" t="s">
        <v>1336</v>
      </c>
      <c r="AE120" s="122"/>
      <c r="AF120" s="122" t="s">
        <v>247</v>
      </c>
      <c r="AG120" s="122" t="s">
        <v>247</v>
      </c>
      <c r="AH120" s="121">
        <v>4.1000000000011028</v>
      </c>
      <c r="AI120" s="122" t="s">
        <v>247</v>
      </c>
      <c r="AJ120" s="122" t="s">
        <v>247</v>
      </c>
      <c r="AK120" s="122" t="s">
        <v>247</v>
      </c>
      <c r="AL120" s="554" t="s">
        <v>1340</v>
      </c>
      <c r="AM120" s="555">
        <v>22.140699999999999</v>
      </c>
      <c r="AN120" s="392"/>
    </row>
    <row r="121" spans="1:40" ht="15.95" customHeight="1">
      <c r="A121" s="119">
        <v>806</v>
      </c>
      <c r="B121" s="107" t="s">
        <v>501</v>
      </c>
      <c r="C121" s="114" t="s">
        <v>196</v>
      </c>
      <c r="D121" s="110" t="s">
        <v>659</v>
      </c>
      <c r="E121" s="109" t="s">
        <v>207</v>
      </c>
      <c r="F121" s="111" t="s">
        <v>9</v>
      </c>
      <c r="G121" s="112" t="s">
        <v>31</v>
      </c>
      <c r="H121" s="112" t="s">
        <v>541</v>
      </c>
      <c r="I121" s="112" t="s">
        <v>141</v>
      </c>
      <c r="J121" s="112" t="s">
        <v>547</v>
      </c>
      <c r="K121" s="136" t="s">
        <v>707</v>
      </c>
      <c r="L121" s="122"/>
      <c r="M121" s="122"/>
      <c r="N121" s="122"/>
      <c r="O121" s="122"/>
      <c r="P121" s="122"/>
      <c r="Q121" s="122"/>
      <c r="R121" s="121">
        <v>24.1</v>
      </c>
      <c r="S121" s="135" t="s">
        <v>1070</v>
      </c>
      <c r="T121" s="122"/>
      <c r="U121" s="122"/>
      <c r="V121" s="122"/>
      <c r="W121" s="122">
        <v>-3.7</v>
      </c>
      <c r="X121" s="139" t="s">
        <v>1072</v>
      </c>
      <c r="Y121" s="122"/>
      <c r="Z121" s="122"/>
      <c r="AA121" s="122"/>
      <c r="AB121" s="122"/>
      <c r="AC121" s="122">
        <v>9.6</v>
      </c>
      <c r="AD121" s="139" t="s">
        <v>1336</v>
      </c>
      <c r="AE121" s="122"/>
      <c r="AF121" s="122" t="s">
        <v>247</v>
      </c>
      <c r="AG121" s="122" t="s">
        <v>247</v>
      </c>
      <c r="AH121" s="121">
        <v>5.3000000000018588</v>
      </c>
      <c r="AI121" s="122" t="s">
        <v>247</v>
      </c>
      <c r="AJ121" s="122" t="s">
        <v>247</v>
      </c>
      <c r="AK121" s="122" t="s">
        <v>247</v>
      </c>
      <c r="AL121" s="554" t="s">
        <v>1340</v>
      </c>
      <c r="AM121" s="555">
        <v>28.729399999999998</v>
      </c>
      <c r="AN121" s="392"/>
    </row>
    <row r="122" spans="1:40" ht="15.95" customHeight="1">
      <c r="A122" s="119">
        <v>807</v>
      </c>
      <c r="B122" s="107" t="s">
        <v>502</v>
      </c>
      <c r="C122" s="114" t="s">
        <v>196</v>
      </c>
      <c r="D122" s="110" t="s">
        <v>580</v>
      </c>
      <c r="E122" s="109" t="s">
        <v>1435</v>
      </c>
      <c r="F122" s="111" t="s">
        <v>12</v>
      </c>
      <c r="G122" s="112" t="s">
        <v>31</v>
      </c>
      <c r="H122" s="112" t="s">
        <v>541</v>
      </c>
      <c r="I122" s="112" t="s">
        <v>54</v>
      </c>
      <c r="J122" s="112" t="s">
        <v>291</v>
      </c>
      <c r="K122" s="136" t="s">
        <v>525</v>
      </c>
      <c r="L122" s="122"/>
      <c r="M122" s="127">
        <v>12.7</v>
      </c>
      <c r="N122" s="136" t="s">
        <v>525</v>
      </c>
      <c r="O122" s="122"/>
      <c r="P122" s="121">
        <v>9</v>
      </c>
      <c r="Q122" s="139" t="s">
        <v>637</v>
      </c>
      <c r="R122" s="121">
        <v>26.1</v>
      </c>
      <c r="S122" s="135" t="s">
        <v>1070</v>
      </c>
      <c r="T122" s="122"/>
      <c r="U122" s="122"/>
      <c r="V122" s="122"/>
      <c r="W122" s="122">
        <v>4.8</v>
      </c>
      <c r="X122" s="139" t="s">
        <v>1071</v>
      </c>
      <c r="Y122" s="122"/>
      <c r="Z122" s="122"/>
      <c r="AA122" s="122">
        <v>13.9</v>
      </c>
      <c r="AB122" s="139" t="s">
        <v>1069</v>
      </c>
      <c r="AC122" s="122">
        <v>3.5</v>
      </c>
      <c r="AD122" s="139" t="s">
        <v>1068</v>
      </c>
      <c r="AE122" s="122"/>
      <c r="AF122" s="122">
        <v>7.6999999999998181</v>
      </c>
      <c r="AG122" s="139" t="s">
        <v>1333</v>
      </c>
      <c r="AH122" s="121">
        <v>7.5000000000002842</v>
      </c>
      <c r="AI122" s="139" t="s">
        <v>1073</v>
      </c>
      <c r="AJ122" s="122">
        <v>1.900000000000901</v>
      </c>
      <c r="AK122" s="141" t="s">
        <v>247</v>
      </c>
      <c r="AL122" s="554" t="s">
        <v>1380</v>
      </c>
      <c r="AM122" s="555">
        <v>11.420999999999999</v>
      </c>
      <c r="AN122" s="392"/>
    </row>
    <row r="123" spans="1:40" s="231" customFormat="1" ht="15.95" customHeight="1">
      <c r="A123" s="214">
        <v>808</v>
      </c>
      <c r="B123" s="215" t="s">
        <v>503</v>
      </c>
      <c r="C123" s="216" t="s">
        <v>196</v>
      </c>
      <c r="D123" s="217" t="s">
        <v>673</v>
      </c>
      <c r="E123" s="218" t="s">
        <v>211</v>
      </c>
      <c r="F123" s="219" t="s">
        <v>12</v>
      </c>
      <c r="G123" s="220" t="s">
        <v>10</v>
      </c>
      <c r="H123" s="220" t="s">
        <v>541</v>
      </c>
      <c r="I123" s="220" t="s">
        <v>141</v>
      </c>
      <c r="J123" s="220" t="s">
        <v>547</v>
      </c>
      <c r="K123" s="233" t="s">
        <v>707</v>
      </c>
      <c r="L123" s="228"/>
      <c r="M123" s="228"/>
      <c r="N123" s="228"/>
      <c r="O123" s="228"/>
      <c r="P123" s="228"/>
      <c r="Q123" s="228"/>
      <c r="R123" s="229">
        <v>26</v>
      </c>
      <c r="S123" s="225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625"/>
      <c r="AK123" s="228" t="s">
        <v>247</v>
      </c>
      <c r="AL123" s="556" t="s">
        <v>555</v>
      </c>
      <c r="AM123" s="557">
        <v>22.564800000000002</v>
      </c>
      <c r="AN123" s="393" t="s">
        <v>534</v>
      </c>
    </row>
    <row r="124" spans="1:40" ht="15.95" customHeight="1">
      <c r="A124" s="119">
        <v>809</v>
      </c>
      <c r="B124" s="107" t="s">
        <v>505</v>
      </c>
      <c r="C124" s="114" t="s">
        <v>196</v>
      </c>
      <c r="D124" s="110" t="s">
        <v>660</v>
      </c>
      <c r="E124" s="109" t="s">
        <v>213</v>
      </c>
      <c r="F124" s="111" t="s">
        <v>9</v>
      </c>
      <c r="G124" s="112" t="s">
        <v>10</v>
      </c>
      <c r="H124" s="112" t="s">
        <v>541</v>
      </c>
      <c r="I124" s="112" t="s">
        <v>141</v>
      </c>
      <c r="J124" s="112" t="s">
        <v>547</v>
      </c>
      <c r="K124" s="136" t="s">
        <v>707</v>
      </c>
      <c r="L124" s="122"/>
      <c r="M124" s="122"/>
      <c r="N124" s="122"/>
      <c r="O124" s="122"/>
      <c r="P124" s="122"/>
      <c r="Q124" s="122"/>
      <c r="R124" s="121">
        <v>25</v>
      </c>
      <c r="S124" s="135" t="s">
        <v>1070</v>
      </c>
      <c r="T124" s="122"/>
      <c r="U124" s="122"/>
      <c r="V124" s="122"/>
      <c r="W124" s="122">
        <v>1.3</v>
      </c>
      <c r="X124" s="139" t="s">
        <v>1071</v>
      </c>
      <c r="Y124" s="122"/>
      <c r="Z124" s="122"/>
      <c r="AA124" s="122">
        <v>3.7</v>
      </c>
      <c r="AB124" s="139" t="s">
        <v>1069</v>
      </c>
      <c r="AC124" s="122">
        <v>-1.3</v>
      </c>
      <c r="AD124" s="139" t="s">
        <v>1068</v>
      </c>
      <c r="AE124" s="122"/>
      <c r="AF124" s="122">
        <v>1.9999999999988916</v>
      </c>
      <c r="AG124" s="139" t="s">
        <v>1333</v>
      </c>
      <c r="AH124" s="121">
        <v>0.70000000000192131</v>
      </c>
      <c r="AI124" s="139" t="s">
        <v>1073</v>
      </c>
      <c r="AJ124" s="122">
        <v>0.59999999999860165</v>
      </c>
      <c r="AK124" s="141" t="s">
        <v>247</v>
      </c>
      <c r="AL124" s="554" t="s">
        <v>1380</v>
      </c>
      <c r="AM124" s="555">
        <v>16.7468</v>
      </c>
      <c r="AN124" s="392"/>
    </row>
    <row r="125" spans="1:40" ht="15.95" customHeight="1">
      <c r="A125" s="214">
        <v>810</v>
      </c>
      <c r="B125" s="215" t="s">
        <v>507</v>
      </c>
      <c r="C125" s="216" t="s">
        <v>196</v>
      </c>
      <c r="D125" s="217" t="s">
        <v>661</v>
      </c>
      <c r="E125" s="218" t="s">
        <v>215</v>
      </c>
      <c r="F125" s="219" t="s">
        <v>9</v>
      </c>
      <c r="G125" s="220" t="s">
        <v>10</v>
      </c>
      <c r="H125" s="220" t="s">
        <v>541</v>
      </c>
      <c r="I125" s="220" t="s">
        <v>54</v>
      </c>
      <c r="J125" s="220" t="s">
        <v>270</v>
      </c>
      <c r="K125" s="224" t="s">
        <v>247</v>
      </c>
      <c r="L125" s="228"/>
      <c r="M125" s="228"/>
      <c r="N125" s="228"/>
      <c r="O125" s="228"/>
      <c r="P125" s="229">
        <v>19.600000000000001</v>
      </c>
      <c r="Q125" s="227" t="s">
        <v>637</v>
      </c>
      <c r="R125" s="229">
        <v>18.899999999999999</v>
      </c>
      <c r="S125" s="232" t="s">
        <v>1070</v>
      </c>
      <c r="T125" s="228"/>
      <c r="U125" s="228"/>
      <c r="V125" s="228"/>
      <c r="W125" s="228">
        <v>7.9</v>
      </c>
      <c r="X125" s="227" t="s">
        <v>1071</v>
      </c>
      <c r="Y125" s="228"/>
      <c r="Z125" s="228"/>
      <c r="AA125" s="228">
        <v>0.3</v>
      </c>
      <c r="AB125" s="227" t="s">
        <v>1069</v>
      </c>
      <c r="AC125" s="228">
        <v>1</v>
      </c>
      <c r="AD125" s="225"/>
      <c r="AE125" s="228"/>
      <c r="AF125" s="228"/>
      <c r="AG125" s="228"/>
      <c r="AH125" s="228"/>
      <c r="AI125" s="228"/>
      <c r="AJ125" s="625"/>
      <c r="AK125" s="228" t="s">
        <v>247</v>
      </c>
      <c r="AL125" s="556" t="s">
        <v>548</v>
      </c>
      <c r="AM125" s="557">
        <v>7.6492000000000004</v>
      </c>
      <c r="AN125" s="393" t="s">
        <v>1377</v>
      </c>
    </row>
    <row r="126" spans="1:40" ht="15.95" customHeight="1">
      <c r="A126" s="119">
        <v>811</v>
      </c>
      <c r="B126" s="107" t="s">
        <v>509</v>
      </c>
      <c r="C126" s="114" t="s">
        <v>196</v>
      </c>
      <c r="D126" s="110" t="s">
        <v>325</v>
      </c>
      <c r="E126" s="109" t="s">
        <v>1436</v>
      </c>
      <c r="F126" s="111" t="s">
        <v>9</v>
      </c>
      <c r="G126" s="112" t="s">
        <v>10</v>
      </c>
      <c r="H126" s="112" t="s">
        <v>64</v>
      </c>
      <c r="I126" s="112" t="s">
        <v>54</v>
      </c>
      <c r="J126" s="112" t="s">
        <v>270</v>
      </c>
      <c r="K126" s="136" t="s">
        <v>525</v>
      </c>
      <c r="L126" s="122"/>
      <c r="M126" s="127">
        <v>26.4</v>
      </c>
      <c r="N126" s="136" t="s">
        <v>525</v>
      </c>
      <c r="O126" s="122"/>
      <c r="P126" s="121">
        <v>17.899999999999999</v>
      </c>
      <c r="Q126" s="139" t="s">
        <v>1072</v>
      </c>
      <c r="R126" s="122"/>
      <c r="S126" s="122"/>
      <c r="T126" s="122"/>
      <c r="U126" s="122"/>
      <c r="V126" s="122">
        <v>58.1</v>
      </c>
      <c r="W126" s="125">
        <v>-1.2</v>
      </c>
      <c r="X126" s="139" t="s">
        <v>1071</v>
      </c>
      <c r="Y126" s="122"/>
      <c r="Z126" s="122"/>
      <c r="AA126" s="122">
        <v>12.8</v>
      </c>
      <c r="AB126" s="139" t="s">
        <v>1069</v>
      </c>
      <c r="AC126" s="122">
        <v>6</v>
      </c>
      <c r="AD126" s="139" t="s">
        <v>1068</v>
      </c>
      <c r="AE126" s="122"/>
      <c r="AF126" s="122">
        <v>8.9000000000005741</v>
      </c>
      <c r="AG126" s="139" t="s">
        <v>1333</v>
      </c>
      <c r="AH126" s="121">
        <v>15.799999999999592</v>
      </c>
      <c r="AI126" s="139" t="s">
        <v>1073</v>
      </c>
      <c r="AJ126" s="122">
        <v>3.5999999999996035</v>
      </c>
      <c r="AK126" s="141" t="s">
        <v>247</v>
      </c>
      <c r="AL126" s="554" t="s">
        <v>1380</v>
      </c>
      <c r="AM126" s="555">
        <v>6.4301000000000004</v>
      </c>
      <c r="AN126" s="392"/>
    </row>
    <row r="127" spans="1:40" s="231" customFormat="1" ht="15.95" customHeight="1">
      <c r="A127" s="214">
        <v>812</v>
      </c>
      <c r="B127" s="215" t="s">
        <v>510</v>
      </c>
      <c r="C127" s="216" t="s">
        <v>196</v>
      </c>
      <c r="D127" s="217" t="s">
        <v>325</v>
      </c>
      <c r="E127" s="218" t="s">
        <v>1437</v>
      </c>
      <c r="F127" s="219" t="s">
        <v>9</v>
      </c>
      <c r="G127" s="220" t="s">
        <v>10</v>
      </c>
      <c r="H127" s="220" t="s">
        <v>64</v>
      </c>
      <c r="I127" s="220" t="s">
        <v>54</v>
      </c>
      <c r="J127" s="220" t="s">
        <v>270</v>
      </c>
      <c r="K127" s="224"/>
      <c r="L127" s="228"/>
      <c r="M127" s="228"/>
      <c r="N127" s="228"/>
      <c r="O127" s="228"/>
      <c r="P127" s="232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625"/>
      <c r="AK127" s="228" t="s">
        <v>247</v>
      </c>
      <c r="AL127" s="561" t="s">
        <v>544</v>
      </c>
      <c r="AM127" s="562" t="s">
        <v>544</v>
      </c>
      <c r="AN127" s="393" t="s">
        <v>723</v>
      </c>
    </row>
    <row r="128" spans="1:40" ht="15.95" customHeight="1">
      <c r="A128" s="119">
        <v>813</v>
      </c>
      <c r="B128" s="107" t="s">
        <v>1181</v>
      </c>
      <c r="C128" s="114" t="s">
        <v>196</v>
      </c>
      <c r="D128" s="110" t="s">
        <v>325</v>
      </c>
      <c r="E128" s="109" t="s">
        <v>1438</v>
      </c>
      <c r="F128" s="111" t="s">
        <v>9</v>
      </c>
      <c r="G128" s="112" t="s">
        <v>555</v>
      </c>
      <c r="H128" s="112" t="s">
        <v>64</v>
      </c>
      <c r="I128" s="112" t="s">
        <v>54</v>
      </c>
      <c r="J128" s="112" t="s">
        <v>270</v>
      </c>
      <c r="K128" s="122"/>
      <c r="L128" s="122"/>
      <c r="M128" s="122"/>
      <c r="N128" s="122"/>
      <c r="O128" s="122"/>
      <c r="P128" s="122"/>
      <c r="Q128" s="122"/>
      <c r="R128" s="138" t="s">
        <v>289</v>
      </c>
      <c r="S128" s="122"/>
      <c r="T128" s="122"/>
      <c r="U128" s="121"/>
      <c r="V128" s="139" t="s">
        <v>314</v>
      </c>
      <c r="W128" s="126">
        <v>0.9</v>
      </c>
      <c r="X128" s="139" t="s">
        <v>1071</v>
      </c>
      <c r="Y128" s="122"/>
      <c r="Z128" s="122"/>
      <c r="AA128" s="122">
        <v>16.8</v>
      </c>
      <c r="AB128" s="125" t="s">
        <v>527</v>
      </c>
      <c r="AC128" s="122"/>
      <c r="AD128" s="122"/>
      <c r="AE128" s="122"/>
      <c r="AF128" s="122">
        <v>14.600000000000612</v>
      </c>
      <c r="AG128" s="139" t="s">
        <v>1383</v>
      </c>
      <c r="AH128" s="122" t="s">
        <v>247</v>
      </c>
      <c r="AI128" s="122" t="s">
        <v>247</v>
      </c>
      <c r="AJ128" s="122">
        <v>21.700000000000053</v>
      </c>
      <c r="AK128" s="141" t="s">
        <v>247</v>
      </c>
      <c r="AL128" s="554" t="s">
        <v>1380</v>
      </c>
      <c r="AM128" s="555">
        <v>4.2455999999999996</v>
      </c>
      <c r="AN128" s="392"/>
    </row>
    <row r="129" spans="1:40" ht="15.95" customHeight="1">
      <c r="A129" s="119">
        <v>814</v>
      </c>
      <c r="B129" s="107" t="s">
        <v>1182</v>
      </c>
      <c r="C129" s="114" t="s">
        <v>196</v>
      </c>
      <c r="D129" s="110" t="s">
        <v>704</v>
      </c>
      <c r="E129" s="109" t="s">
        <v>1439</v>
      </c>
      <c r="F129" s="111" t="s">
        <v>9</v>
      </c>
      <c r="G129" s="112" t="s">
        <v>343</v>
      </c>
      <c r="H129" s="112" t="s">
        <v>541</v>
      </c>
      <c r="I129" s="112" t="s">
        <v>141</v>
      </c>
      <c r="J129" s="112" t="s">
        <v>547</v>
      </c>
      <c r="K129" s="122"/>
      <c r="L129" s="122"/>
      <c r="M129" s="122"/>
      <c r="N129" s="122"/>
      <c r="O129" s="122"/>
      <c r="P129" s="122"/>
      <c r="Q129" s="122"/>
      <c r="R129" s="122"/>
      <c r="S129" s="138" t="s">
        <v>289</v>
      </c>
      <c r="T129" s="122"/>
      <c r="U129" s="122"/>
      <c r="V129" s="122"/>
      <c r="W129" s="138" t="s">
        <v>256</v>
      </c>
      <c r="X129" s="135" t="s">
        <v>1072</v>
      </c>
      <c r="Y129" s="122"/>
      <c r="Z129" s="122"/>
      <c r="AA129" s="122"/>
      <c r="AB129" s="122"/>
      <c r="AC129" s="121">
        <v>9.9</v>
      </c>
      <c r="AD129" s="135" t="s">
        <v>1336</v>
      </c>
      <c r="AE129" s="122"/>
      <c r="AF129" s="122" t="s">
        <v>247</v>
      </c>
      <c r="AG129" s="122" t="s">
        <v>247</v>
      </c>
      <c r="AH129" s="121">
        <v>3.7999999999982492</v>
      </c>
      <c r="AI129" s="122" t="s">
        <v>247</v>
      </c>
      <c r="AJ129" s="122" t="s">
        <v>247</v>
      </c>
      <c r="AK129" s="122" t="s">
        <v>247</v>
      </c>
      <c r="AL129" s="554" t="s">
        <v>1340</v>
      </c>
      <c r="AM129" s="555">
        <v>38.540500000000002</v>
      </c>
      <c r="AN129" s="392"/>
    </row>
    <row r="130" spans="1:40" ht="15.95" customHeight="1">
      <c r="A130" s="119">
        <v>815</v>
      </c>
      <c r="B130" s="107" t="s">
        <v>514</v>
      </c>
      <c r="C130" s="114" t="s">
        <v>196</v>
      </c>
      <c r="D130" s="110" t="s">
        <v>642</v>
      </c>
      <c r="E130" s="109" t="s">
        <v>1440</v>
      </c>
      <c r="F130" s="111" t="s">
        <v>9</v>
      </c>
      <c r="G130" s="112" t="s">
        <v>345</v>
      </c>
      <c r="H130" s="112" t="s">
        <v>541</v>
      </c>
      <c r="I130" s="112" t="s">
        <v>141</v>
      </c>
      <c r="J130" s="112" t="s">
        <v>547</v>
      </c>
      <c r="K130" s="122"/>
      <c r="L130" s="122"/>
      <c r="M130" s="122"/>
      <c r="N130" s="122"/>
      <c r="O130" s="122"/>
      <c r="P130" s="122"/>
      <c r="Q130" s="122"/>
      <c r="R130" s="122"/>
      <c r="S130" s="122"/>
      <c r="T130" s="138" t="s">
        <v>289</v>
      </c>
      <c r="U130" s="122"/>
      <c r="V130" s="122"/>
      <c r="W130" s="138" t="s">
        <v>256</v>
      </c>
      <c r="X130" s="122">
        <v>1.5</v>
      </c>
      <c r="Y130" s="139" t="s">
        <v>1070</v>
      </c>
      <c r="Z130" s="122"/>
      <c r="AA130" s="122"/>
      <c r="AB130" s="122"/>
      <c r="AC130" s="121">
        <v>4.4000000000000004</v>
      </c>
      <c r="AD130" s="135" t="s">
        <v>1336</v>
      </c>
      <c r="AE130" s="122"/>
      <c r="AF130" s="122" t="s">
        <v>247</v>
      </c>
      <c r="AG130" s="122" t="s">
        <v>247</v>
      </c>
      <c r="AH130" s="121">
        <v>1.300000000000523</v>
      </c>
      <c r="AI130" s="139" t="s">
        <v>1073</v>
      </c>
      <c r="AJ130" s="122">
        <v>-0.49999999999883471</v>
      </c>
      <c r="AK130" s="141" t="s">
        <v>247</v>
      </c>
      <c r="AL130" s="554" t="s">
        <v>1380</v>
      </c>
      <c r="AM130" s="555">
        <v>31.727799999999998</v>
      </c>
      <c r="AN130" s="392"/>
    </row>
    <row r="131" spans="1:40" ht="15.95" customHeight="1">
      <c r="A131" s="119">
        <v>816</v>
      </c>
      <c r="B131" s="107" t="s">
        <v>602</v>
      </c>
      <c r="C131" s="114" t="s">
        <v>196</v>
      </c>
      <c r="D131" s="110" t="s">
        <v>1130</v>
      </c>
      <c r="E131" s="109" t="s">
        <v>1441</v>
      </c>
      <c r="F131" s="111" t="s">
        <v>287</v>
      </c>
      <c r="G131" s="112" t="s">
        <v>543</v>
      </c>
      <c r="H131" s="112" t="s">
        <v>541</v>
      </c>
      <c r="I131" s="112" t="s">
        <v>544</v>
      </c>
      <c r="J131" s="112" t="s">
        <v>270</v>
      </c>
      <c r="K131" s="135"/>
      <c r="L131" s="122"/>
      <c r="M131" s="122"/>
      <c r="N131" s="122"/>
      <c r="O131" s="122"/>
      <c r="P131" s="122"/>
      <c r="Q131" s="122"/>
      <c r="R131" s="135"/>
      <c r="S131" s="122"/>
      <c r="T131" s="135"/>
      <c r="U131" s="122"/>
      <c r="V131" s="122"/>
      <c r="W131" s="122"/>
      <c r="X131" s="122"/>
      <c r="Y131" s="122"/>
      <c r="Z131" s="135"/>
      <c r="AA131" s="122"/>
      <c r="AB131" s="122"/>
      <c r="AC131" s="122"/>
      <c r="AD131" s="122"/>
      <c r="AE131" s="122"/>
      <c r="AF131" s="139" t="s">
        <v>530</v>
      </c>
      <c r="AG131" s="139" t="s">
        <v>1333</v>
      </c>
      <c r="AH131" s="121">
        <v>3.5999999999987153</v>
      </c>
      <c r="AI131" s="139" t="s">
        <v>1073</v>
      </c>
      <c r="AJ131" s="121">
        <v>-0.70000000000014495</v>
      </c>
      <c r="AK131" s="122" t="s">
        <v>247</v>
      </c>
      <c r="AL131" s="554" t="s">
        <v>1380</v>
      </c>
      <c r="AM131" s="555">
        <v>9.8366000000000007</v>
      </c>
      <c r="AN131" s="392"/>
    </row>
    <row r="132" spans="1:40" ht="15.95" customHeight="1">
      <c r="A132" s="119">
        <v>901</v>
      </c>
      <c r="B132" s="107" t="s">
        <v>355</v>
      </c>
      <c r="C132" s="114" t="s">
        <v>217</v>
      </c>
      <c r="D132" s="110" t="s">
        <v>1367</v>
      </c>
      <c r="E132" s="109" t="s">
        <v>219</v>
      </c>
      <c r="F132" s="111" t="s">
        <v>9</v>
      </c>
      <c r="G132" s="112" t="s">
        <v>31</v>
      </c>
      <c r="H132" s="112" t="s">
        <v>64</v>
      </c>
      <c r="I132" s="112" t="s">
        <v>220</v>
      </c>
      <c r="J132" s="112" t="s">
        <v>264</v>
      </c>
      <c r="K132" s="136" t="s">
        <v>695</v>
      </c>
      <c r="L132" s="122"/>
      <c r="M132" s="122"/>
      <c r="N132" s="122"/>
      <c r="O132" s="122"/>
      <c r="P132" s="122"/>
      <c r="Q132" s="122">
        <v>0.3</v>
      </c>
      <c r="R132" s="139" t="s">
        <v>636</v>
      </c>
      <c r="S132" s="122">
        <v>4.5</v>
      </c>
      <c r="T132" s="139" t="s">
        <v>1072</v>
      </c>
      <c r="U132" s="122"/>
      <c r="V132" s="122"/>
      <c r="W132" s="122"/>
      <c r="X132" s="122"/>
      <c r="Y132" s="122">
        <v>-1</v>
      </c>
      <c r="Z132" s="139" t="s">
        <v>1070</v>
      </c>
      <c r="AA132" s="122"/>
      <c r="AB132" s="122"/>
      <c r="AC132" s="122"/>
      <c r="AD132" s="121">
        <v>0.9</v>
      </c>
      <c r="AE132" s="135" t="s">
        <v>1336</v>
      </c>
      <c r="AF132" s="122"/>
      <c r="AG132" s="122"/>
      <c r="AH132" s="122" t="s">
        <v>247</v>
      </c>
      <c r="AI132" s="121">
        <v>-5.3000000000000824</v>
      </c>
      <c r="AJ132" s="125" t="s">
        <v>247</v>
      </c>
      <c r="AK132" s="122" t="s">
        <v>247</v>
      </c>
      <c r="AL132" s="554" t="s">
        <v>1352</v>
      </c>
      <c r="AM132" s="555">
        <v>5.0468000000000002</v>
      </c>
      <c r="AN132" s="392"/>
    </row>
    <row r="133" spans="1:40" s="231" customFormat="1" ht="15.95" customHeight="1">
      <c r="A133" s="214">
        <v>902</v>
      </c>
      <c r="B133" s="215" t="s">
        <v>1183</v>
      </c>
      <c r="C133" s="216" t="s">
        <v>217</v>
      </c>
      <c r="D133" s="217" t="s">
        <v>1367</v>
      </c>
      <c r="E133" s="218" t="s">
        <v>299</v>
      </c>
      <c r="F133" s="219" t="s">
        <v>9</v>
      </c>
      <c r="G133" s="220" t="s">
        <v>31</v>
      </c>
      <c r="H133" s="220" t="s">
        <v>64</v>
      </c>
      <c r="I133" s="220" t="s">
        <v>220</v>
      </c>
      <c r="J133" s="220" t="s">
        <v>264</v>
      </c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625"/>
      <c r="AK133" s="228" t="s">
        <v>247</v>
      </c>
      <c r="AL133" s="561" t="s">
        <v>544</v>
      </c>
      <c r="AM133" s="562" t="s">
        <v>544</v>
      </c>
      <c r="AN133" s="393" t="s">
        <v>729</v>
      </c>
    </row>
    <row r="134" spans="1:40" ht="15.95" customHeight="1">
      <c r="A134" s="119">
        <v>903</v>
      </c>
      <c r="B134" s="107" t="s">
        <v>357</v>
      </c>
      <c r="C134" s="114" t="s">
        <v>217</v>
      </c>
      <c r="D134" s="110" t="s">
        <v>1396</v>
      </c>
      <c r="E134" s="109" t="s">
        <v>222</v>
      </c>
      <c r="F134" s="111" t="s">
        <v>70</v>
      </c>
      <c r="G134" s="112" t="s">
        <v>223</v>
      </c>
      <c r="H134" s="112" t="s">
        <v>541</v>
      </c>
      <c r="I134" s="112" t="s">
        <v>220</v>
      </c>
      <c r="J134" s="112" t="s">
        <v>264</v>
      </c>
      <c r="K134" s="136" t="s">
        <v>695</v>
      </c>
      <c r="L134" s="122"/>
      <c r="M134" s="122"/>
      <c r="N134" s="122"/>
      <c r="O134" s="122"/>
      <c r="P134" s="122"/>
      <c r="Q134" s="122">
        <v>10.3</v>
      </c>
      <c r="R134" s="139" t="s">
        <v>636</v>
      </c>
      <c r="S134" s="122">
        <v>6.5</v>
      </c>
      <c r="T134" s="139" t="s">
        <v>1072</v>
      </c>
      <c r="U134" s="122"/>
      <c r="V134" s="122"/>
      <c r="W134" s="122"/>
      <c r="X134" s="122"/>
      <c r="Y134" s="122">
        <v>6.4</v>
      </c>
      <c r="Z134" s="139" t="s">
        <v>1070</v>
      </c>
      <c r="AA134" s="122"/>
      <c r="AB134" s="122"/>
      <c r="AC134" s="122"/>
      <c r="AD134" s="121">
        <v>-3.1</v>
      </c>
      <c r="AE134" s="135" t="s">
        <v>1336</v>
      </c>
      <c r="AF134" s="122" t="s">
        <v>247</v>
      </c>
      <c r="AG134" s="122" t="s">
        <v>247</v>
      </c>
      <c r="AH134" s="122" t="s">
        <v>247</v>
      </c>
      <c r="AI134" s="121">
        <v>-3.7000000000002586</v>
      </c>
      <c r="AJ134" s="626" t="s">
        <v>247</v>
      </c>
      <c r="AK134" s="122" t="s">
        <v>247</v>
      </c>
      <c r="AL134" s="554" t="s">
        <v>1352</v>
      </c>
      <c r="AM134" s="555">
        <v>4.4196</v>
      </c>
      <c r="AN134" s="392"/>
    </row>
    <row r="135" spans="1:40" ht="15.95" customHeight="1">
      <c r="A135" s="119">
        <v>904</v>
      </c>
      <c r="B135" s="107" t="s">
        <v>1190</v>
      </c>
      <c r="C135" s="114" t="s">
        <v>217</v>
      </c>
      <c r="D135" s="110" t="s">
        <v>1397</v>
      </c>
      <c r="E135" s="109" t="s">
        <v>1442</v>
      </c>
      <c r="F135" s="111" t="s">
        <v>12</v>
      </c>
      <c r="G135" s="112" t="s">
        <v>31</v>
      </c>
      <c r="H135" s="112" t="s">
        <v>541</v>
      </c>
      <c r="I135" s="112" t="s">
        <v>539</v>
      </c>
      <c r="J135" s="112" t="s">
        <v>293</v>
      </c>
      <c r="K135" s="136" t="s">
        <v>695</v>
      </c>
      <c r="L135" s="122"/>
      <c r="M135" s="122"/>
      <c r="N135" s="122"/>
      <c r="O135" s="122"/>
      <c r="P135" s="122"/>
      <c r="Q135" s="122">
        <v>4.5999999999999996</v>
      </c>
      <c r="R135" s="139" t="s">
        <v>636</v>
      </c>
      <c r="S135" s="122">
        <v>4.7</v>
      </c>
      <c r="T135" s="139" t="s">
        <v>1072</v>
      </c>
      <c r="U135" s="122"/>
      <c r="V135" s="122"/>
      <c r="W135" s="122"/>
      <c r="X135" s="122"/>
      <c r="Y135" s="122">
        <v>4.8</v>
      </c>
      <c r="Z135" s="139" t="s">
        <v>1070</v>
      </c>
      <c r="AA135" s="122"/>
      <c r="AB135" s="122"/>
      <c r="AC135" s="122"/>
      <c r="AD135" s="121">
        <v>4.5999999999999996</v>
      </c>
      <c r="AE135" s="135" t="s">
        <v>1336</v>
      </c>
      <c r="AF135" s="122" t="s">
        <v>247</v>
      </c>
      <c r="AG135" s="122" t="s">
        <v>247</v>
      </c>
      <c r="AH135" s="122" t="s">
        <v>247</v>
      </c>
      <c r="AI135" s="121">
        <v>2.6000000000010459</v>
      </c>
      <c r="AJ135" s="626" t="s">
        <v>247</v>
      </c>
      <c r="AK135" s="122" t="s">
        <v>247</v>
      </c>
      <c r="AL135" s="554" t="s">
        <v>1352</v>
      </c>
      <c r="AM135" s="555">
        <v>17.320599999999999</v>
      </c>
      <c r="AN135" s="392"/>
    </row>
    <row r="136" spans="1:40" ht="15.95" customHeight="1">
      <c r="A136" s="119">
        <v>905</v>
      </c>
      <c r="B136" s="107" t="s">
        <v>353</v>
      </c>
      <c r="C136" s="114" t="s">
        <v>217</v>
      </c>
      <c r="D136" s="110" t="s">
        <v>1398</v>
      </c>
      <c r="E136" s="109" t="s">
        <v>299</v>
      </c>
      <c r="F136" s="111" t="s">
        <v>12</v>
      </c>
      <c r="G136" s="112" t="s">
        <v>31</v>
      </c>
      <c r="H136" s="112" t="s">
        <v>541</v>
      </c>
      <c r="I136" s="112" t="s">
        <v>284</v>
      </c>
      <c r="J136" s="112" t="s">
        <v>293</v>
      </c>
      <c r="K136" s="123" t="s">
        <v>247</v>
      </c>
      <c r="L136" s="122"/>
      <c r="M136" s="138" t="s">
        <v>260</v>
      </c>
      <c r="N136" s="122"/>
      <c r="O136" s="122"/>
      <c r="P136" s="122"/>
      <c r="Q136" s="138" t="s">
        <v>256</v>
      </c>
      <c r="R136" s="135" t="s">
        <v>636</v>
      </c>
      <c r="S136" s="122">
        <v>4</v>
      </c>
      <c r="T136" s="139" t="s">
        <v>1072</v>
      </c>
      <c r="U136" s="122"/>
      <c r="V136" s="122"/>
      <c r="W136" s="122"/>
      <c r="X136" s="122"/>
      <c r="Y136" s="122">
        <v>-2.7</v>
      </c>
      <c r="Z136" s="139" t="s">
        <v>1070</v>
      </c>
      <c r="AA136" s="122"/>
      <c r="AB136" s="122"/>
      <c r="AC136" s="122"/>
      <c r="AD136" s="121">
        <v>1.2</v>
      </c>
      <c r="AE136" s="135" t="s">
        <v>1336</v>
      </c>
      <c r="AF136" s="122" t="s">
        <v>247</v>
      </c>
      <c r="AG136" s="122" t="s">
        <v>247</v>
      </c>
      <c r="AH136" s="122" t="s">
        <v>247</v>
      </c>
      <c r="AI136" s="121">
        <v>0.29999999999930083</v>
      </c>
      <c r="AJ136" s="626" t="s">
        <v>247</v>
      </c>
      <c r="AK136" s="122" t="s">
        <v>247</v>
      </c>
      <c r="AL136" s="554" t="s">
        <v>1352</v>
      </c>
      <c r="AM136" s="555">
        <v>14.526300000000001</v>
      </c>
      <c r="AN136" s="392"/>
    </row>
    <row r="137" spans="1:40" ht="15.95" customHeight="1">
      <c r="A137" s="119">
        <v>906</v>
      </c>
      <c r="B137" s="107" t="s">
        <v>352</v>
      </c>
      <c r="C137" s="114" t="s">
        <v>217</v>
      </c>
      <c r="D137" s="110" t="s">
        <v>674</v>
      </c>
      <c r="E137" s="109" t="s">
        <v>1443</v>
      </c>
      <c r="F137" s="111" t="s">
        <v>12</v>
      </c>
      <c r="G137" s="112" t="s">
        <v>223</v>
      </c>
      <c r="H137" s="112" t="s">
        <v>541</v>
      </c>
      <c r="I137" s="112" t="s">
        <v>284</v>
      </c>
      <c r="J137" s="112" t="s">
        <v>293</v>
      </c>
      <c r="K137" s="136" t="s">
        <v>695</v>
      </c>
      <c r="L137" s="122"/>
      <c r="M137" s="122"/>
      <c r="N137" s="122"/>
      <c r="O137" s="122"/>
      <c r="P137" s="122"/>
      <c r="Q137" s="122">
        <v>3.7</v>
      </c>
      <c r="R137" s="139" t="s">
        <v>636</v>
      </c>
      <c r="S137" s="122">
        <v>5.2</v>
      </c>
      <c r="T137" s="139" t="s">
        <v>1072</v>
      </c>
      <c r="U137" s="122"/>
      <c r="V137" s="122"/>
      <c r="W137" s="122"/>
      <c r="X137" s="122"/>
      <c r="Y137" s="122">
        <v>-0.6</v>
      </c>
      <c r="Z137" s="139" t="s">
        <v>1070</v>
      </c>
      <c r="AA137" s="122"/>
      <c r="AB137" s="122"/>
      <c r="AC137" s="122"/>
      <c r="AD137" s="121">
        <v>-4</v>
      </c>
      <c r="AE137" s="135" t="s">
        <v>1336</v>
      </c>
      <c r="AF137" s="122" t="s">
        <v>247</v>
      </c>
      <c r="AG137" s="122" t="s">
        <v>247</v>
      </c>
      <c r="AH137" s="122" t="s">
        <v>247</v>
      </c>
      <c r="AI137" s="121">
        <v>-3.0999999999998806</v>
      </c>
      <c r="AJ137" s="626" t="s">
        <v>247</v>
      </c>
      <c r="AK137" s="122" t="s">
        <v>247</v>
      </c>
      <c r="AL137" s="554" t="s">
        <v>1352</v>
      </c>
      <c r="AM137" s="555">
        <v>11.178599999999999</v>
      </c>
      <c r="AN137" s="392"/>
    </row>
    <row r="138" spans="1:40" ht="15.95" customHeight="1">
      <c r="A138" s="119">
        <v>907</v>
      </c>
      <c r="B138" s="107" t="s">
        <v>523</v>
      </c>
      <c r="C138" s="114" t="s">
        <v>217</v>
      </c>
      <c r="D138" s="110" t="s">
        <v>581</v>
      </c>
      <c r="E138" s="109" t="s">
        <v>230</v>
      </c>
      <c r="F138" s="111" t="s">
        <v>12</v>
      </c>
      <c r="G138" s="112" t="s">
        <v>10</v>
      </c>
      <c r="H138" s="112" t="s">
        <v>541</v>
      </c>
      <c r="I138" s="112" t="s">
        <v>284</v>
      </c>
      <c r="J138" s="112" t="s">
        <v>293</v>
      </c>
      <c r="K138" s="136" t="s">
        <v>695</v>
      </c>
      <c r="L138" s="122"/>
      <c r="M138" s="122"/>
      <c r="N138" s="122"/>
      <c r="O138" s="122"/>
      <c r="P138" s="122"/>
      <c r="Q138" s="122">
        <v>3</v>
      </c>
      <c r="R138" s="139" t="s">
        <v>636</v>
      </c>
      <c r="S138" s="122">
        <v>3.9</v>
      </c>
      <c r="T138" s="139" t="s">
        <v>1072</v>
      </c>
      <c r="U138" s="122"/>
      <c r="V138" s="122"/>
      <c r="W138" s="122"/>
      <c r="X138" s="122"/>
      <c r="Y138" s="122">
        <v>-0.6</v>
      </c>
      <c r="Z138" s="139" t="s">
        <v>1070</v>
      </c>
      <c r="AA138" s="122"/>
      <c r="AB138" s="122"/>
      <c r="AC138" s="122"/>
      <c r="AD138" s="121">
        <v>1.2</v>
      </c>
      <c r="AE138" s="135" t="s">
        <v>1336</v>
      </c>
      <c r="AF138" s="122" t="s">
        <v>247</v>
      </c>
      <c r="AG138" s="122" t="s">
        <v>247</v>
      </c>
      <c r="AH138" s="122" t="s">
        <v>247</v>
      </c>
      <c r="AI138" s="121">
        <v>3.8000000000018019</v>
      </c>
      <c r="AJ138" s="626" t="s">
        <v>247</v>
      </c>
      <c r="AK138" s="122" t="s">
        <v>247</v>
      </c>
      <c r="AL138" s="554" t="s">
        <v>1352</v>
      </c>
      <c r="AM138" s="555">
        <v>25.3736</v>
      </c>
      <c r="AN138" s="392"/>
    </row>
    <row r="139" spans="1:40" ht="15.95" customHeight="1">
      <c r="A139" s="119">
        <v>908</v>
      </c>
      <c r="B139" s="107" t="s">
        <v>359</v>
      </c>
      <c r="C139" s="114" t="s">
        <v>217</v>
      </c>
      <c r="D139" s="110" t="s">
        <v>705</v>
      </c>
      <c r="E139" s="109" t="s">
        <v>1444</v>
      </c>
      <c r="F139" s="111" t="s">
        <v>9</v>
      </c>
      <c r="G139" s="112" t="s">
        <v>10</v>
      </c>
      <c r="H139" s="112" t="s">
        <v>542</v>
      </c>
      <c r="I139" s="112" t="s">
        <v>54</v>
      </c>
      <c r="J139" s="112" t="s">
        <v>264</v>
      </c>
      <c r="K139" s="136" t="s">
        <v>695</v>
      </c>
      <c r="L139" s="122"/>
      <c r="M139" s="122"/>
      <c r="N139" s="122"/>
      <c r="O139" s="122"/>
      <c r="P139" s="122"/>
      <c r="Q139" s="122">
        <v>5.8</v>
      </c>
      <c r="R139" s="139" t="s">
        <v>636</v>
      </c>
      <c r="S139" s="122">
        <v>3.7</v>
      </c>
      <c r="T139" s="139" t="s">
        <v>1072</v>
      </c>
      <c r="U139" s="122"/>
      <c r="V139" s="122"/>
      <c r="W139" s="122"/>
      <c r="X139" s="122"/>
      <c r="Y139" s="122">
        <v>2.2000000000000002</v>
      </c>
      <c r="Z139" s="139" t="s">
        <v>1070</v>
      </c>
      <c r="AA139" s="122"/>
      <c r="AB139" s="122"/>
      <c r="AC139" s="122"/>
      <c r="AD139" s="121">
        <v>-8</v>
      </c>
      <c r="AE139" s="135" t="s">
        <v>1336</v>
      </c>
      <c r="AF139" s="122" t="s">
        <v>247</v>
      </c>
      <c r="AG139" s="122" t="s">
        <v>247</v>
      </c>
      <c r="AH139" s="122" t="s">
        <v>247</v>
      </c>
      <c r="AI139" s="121">
        <v>-3.5999999999996035</v>
      </c>
      <c r="AJ139" s="626" t="s">
        <v>247</v>
      </c>
      <c r="AK139" s="122" t="s">
        <v>247</v>
      </c>
      <c r="AL139" s="554" t="s">
        <v>1352</v>
      </c>
      <c r="AM139" s="555">
        <v>5.0652999999999997</v>
      </c>
      <c r="AN139" s="392"/>
    </row>
    <row r="140" spans="1:40" ht="15.95" customHeight="1">
      <c r="A140" s="119">
        <v>909</v>
      </c>
      <c r="B140" s="107" t="s">
        <v>360</v>
      </c>
      <c r="C140" s="114" t="s">
        <v>217</v>
      </c>
      <c r="D140" s="110" t="s">
        <v>1399</v>
      </c>
      <c r="E140" s="109" t="s">
        <v>233</v>
      </c>
      <c r="F140" s="111" t="s">
        <v>12</v>
      </c>
      <c r="G140" s="112" t="s">
        <v>31</v>
      </c>
      <c r="H140" s="112" t="s">
        <v>541</v>
      </c>
      <c r="I140" s="112" t="s">
        <v>54</v>
      </c>
      <c r="J140" s="112" t="s">
        <v>264</v>
      </c>
      <c r="K140" s="136" t="s">
        <v>695</v>
      </c>
      <c r="L140" s="122"/>
      <c r="M140" s="122"/>
      <c r="N140" s="122"/>
      <c r="O140" s="122"/>
      <c r="P140" s="122"/>
      <c r="Q140" s="122">
        <v>6.6</v>
      </c>
      <c r="R140" s="139" t="s">
        <v>636</v>
      </c>
      <c r="S140" s="122">
        <v>3.8</v>
      </c>
      <c r="T140" s="139" t="s">
        <v>1072</v>
      </c>
      <c r="U140" s="122"/>
      <c r="V140" s="122"/>
      <c r="W140" s="122"/>
      <c r="X140" s="122"/>
      <c r="Y140" s="122">
        <v>5.0999999999999996</v>
      </c>
      <c r="Z140" s="139" t="s">
        <v>1070</v>
      </c>
      <c r="AA140" s="122"/>
      <c r="AB140" s="122"/>
      <c r="AC140" s="122"/>
      <c r="AD140" s="121">
        <v>-6.7</v>
      </c>
      <c r="AE140" s="135" t="s">
        <v>1336</v>
      </c>
      <c r="AF140" s="122" t="s">
        <v>247</v>
      </c>
      <c r="AG140" s="122" t="s">
        <v>247</v>
      </c>
      <c r="AH140" s="122" t="s">
        <v>247</v>
      </c>
      <c r="AI140" s="121">
        <v>-2.6999999999999247</v>
      </c>
      <c r="AJ140" s="626" t="s">
        <v>247</v>
      </c>
      <c r="AK140" s="122" t="s">
        <v>247</v>
      </c>
      <c r="AL140" s="554" t="s">
        <v>1352</v>
      </c>
      <c r="AM140" s="555">
        <v>4.1519000000000004</v>
      </c>
      <c r="AN140" s="392"/>
    </row>
    <row r="141" spans="1:40" ht="15.95" customHeight="1">
      <c r="A141" s="119">
        <v>910</v>
      </c>
      <c r="B141" s="107" t="s">
        <v>351</v>
      </c>
      <c r="C141" s="114" t="s">
        <v>217</v>
      </c>
      <c r="D141" s="110" t="s">
        <v>662</v>
      </c>
      <c r="E141" s="109" t="s">
        <v>1445</v>
      </c>
      <c r="F141" s="111" t="s">
        <v>12</v>
      </c>
      <c r="G141" s="112" t="s">
        <v>10</v>
      </c>
      <c r="H141" s="112" t="s">
        <v>541</v>
      </c>
      <c r="I141" s="112" t="s">
        <v>284</v>
      </c>
      <c r="J141" s="112" t="s">
        <v>293</v>
      </c>
      <c r="K141" s="136" t="s">
        <v>695</v>
      </c>
      <c r="L141" s="122"/>
      <c r="M141" s="122"/>
      <c r="N141" s="122"/>
      <c r="O141" s="122"/>
      <c r="P141" s="122"/>
      <c r="Q141" s="122">
        <v>10.6</v>
      </c>
      <c r="R141" s="139" t="s">
        <v>636</v>
      </c>
      <c r="S141" s="122">
        <v>4.4000000000000004</v>
      </c>
      <c r="T141" s="139" t="s">
        <v>1072</v>
      </c>
      <c r="U141" s="122"/>
      <c r="V141" s="122"/>
      <c r="W141" s="122"/>
      <c r="X141" s="122"/>
      <c r="Y141" s="122">
        <v>6.1</v>
      </c>
      <c r="Z141" s="139" t="s">
        <v>1070</v>
      </c>
      <c r="AA141" s="122"/>
      <c r="AB141" s="122"/>
      <c r="AC141" s="122"/>
      <c r="AD141" s="121">
        <v>2</v>
      </c>
      <c r="AE141" s="135" t="s">
        <v>1336</v>
      </c>
      <c r="AF141" s="122" t="s">
        <v>247</v>
      </c>
      <c r="AG141" s="122" t="s">
        <v>247</v>
      </c>
      <c r="AH141" s="122" t="s">
        <v>247</v>
      </c>
      <c r="AI141" s="121">
        <v>0.19999999999953388</v>
      </c>
      <c r="AJ141" s="125" t="s">
        <v>247</v>
      </c>
      <c r="AK141" s="122" t="s">
        <v>247</v>
      </c>
      <c r="AL141" s="554" t="s">
        <v>1352</v>
      </c>
      <c r="AM141" s="555">
        <v>15.7712</v>
      </c>
      <c r="AN141" s="392"/>
    </row>
    <row r="142" spans="1:40" ht="15.95" customHeight="1">
      <c r="A142" s="119">
        <v>911</v>
      </c>
      <c r="B142" s="107" t="s">
        <v>363</v>
      </c>
      <c r="C142" s="114" t="s">
        <v>217</v>
      </c>
      <c r="D142" s="110" t="s">
        <v>675</v>
      </c>
      <c r="E142" s="109" t="s">
        <v>1446</v>
      </c>
      <c r="F142" s="111" t="s">
        <v>70</v>
      </c>
      <c r="G142" s="112" t="s">
        <v>10</v>
      </c>
      <c r="H142" s="112" t="s">
        <v>541</v>
      </c>
      <c r="I142" s="112" t="s">
        <v>54</v>
      </c>
      <c r="J142" s="112" t="s">
        <v>264</v>
      </c>
      <c r="K142" s="136" t="s">
        <v>685</v>
      </c>
      <c r="L142" s="122"/>
      <c r="M142" s="122"/>
      <c r="N142" s="122"/>
      <c r="O142" s="122"/>
      <c r="P142" s="121">
        <v>45</v>
      </c>
      <c r="Q142" s="122">
        <v>11.8</v>
      </c>
      <c r="R142" s="139" t="s">
        <v>636</v>
      </c>
      <c r="S142" s="122">
        <v>16.7</v>
      </c>
      <c r="T142" s="139" t="s">
        <v>679</v>
      </c>
      <c r="U142" s="122"/>
      <c r="V142" s="122"/>
      <c r="W142" s="122"/>
      <c r="X142" s="122"/>
      <c r="Y142" s="122">
        <v>40.799999999999997</v>
      </c>
      <c r="Z142" s="139" t="s">
        <v>1070</v>
      </c>
      <c r="AA142" s="122"/>
      <c r="AB142" s="122"/>
      <c r="AC142" s="122"/>
      <c r="AD142" s="121">
        <v>10.5</v>
      </c>
      <c r="AE142" s="135" t="s">
        <v>1336</v>
      </c>
      <c r="AF142" s="122" t="s">
        <v>247</v>
      </c>
      <c r="AG142" s="122" t="s">
        <v>247</v>
      </c>
      <c r="AH142" s="122" t="s">
        <v>247</v>
      </c>
      <c r="AI142" s="121">
        <v>41.399999999999878</v>
      </c>
      <c r="AJ142" s="139" t="s">
        <v>1073</v>
      </c>
      <c r="AK142" s="122">
        <v>0.90000000000012292</v>
      </c>
      <c r="AL142" s="554" t="s">
        <v>1500</v>
      </c>
      <c r="AM142" s="555">
        <v>3.5257000000000001</v>
      </c>
      <c r="AN142" s="392"/>
    </row>
    <row r="143" spans="1:40" ht="15.95" customHeight="1">
      <c r="A143" s="119">
        <v>1001</v>
      </c>
      <c r="B143" s="107" t="s">
        <v>516</v>
      </c>
      <c r="C143" s="114" t="s">
        <v>294</v>
      </c>
      <c r="D143" s="110" t="s">
        <v>663</v>
      </c>
      <c r="E143" s="109" t="s">
        <v>174</v>
      </c>
      <c r="F143" s="111" t="s">
        <v>9</v>
      </c>
      <c r="G143" s="112" t="s">
        <v>127</v>
      </c>
      <c r="H143" s="112" t="s">
        <v>541</v>
      </c>
      <c r="I143" s="112" t="s">
        <v>141</v>
      </c>
      <c r="J143" s="112" t="s">
        <v>270</v>
      </c>
      <c r="K143" s="136" t="s">
        <v>707</v>
      </c>
      <c r="L143" s="122"/>
      <c r="M143" s="122"/>
      <c r="N143" s="122"/>
      <c r="O143" s="122"/>
      <c r="P143" s="122"/>
      <c r="Q143" s="122"/>
      <c r="R143" s="122">
        <v>22.6</v>
      </c>
      <c r="S143" s="139" t="s">
        <v>1074</v>
      </c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>
        <v>9.5</v>
      </c>
      <c r="AD143" s="139" t="s">
        <v>1336</v>
      </c>
      <c r="AE143" s="122"/>
      <c r="AF143" s="122" t="s">
        <v>247</v>
      </c>
      <c r="AG143" s="122" t="s">
        <v>247</v>
      </c>
      <c r="AH143" s="121">
        <v>1.300000000000523</v>
      </c>
      <c r="AI143" s="139" t="s">
        <v>1073</v>
      </c>
      <c r="AJ143" s="121">
        <v>4.5000000000001705</v>
      </c>
      <c r="AK143" s="122" t="s">
        <v>247</v>
      </c>
      <c r="AL143" s="554" t="s">
        <v>1380</v>
      </c>
      <c r="AM143" s="555">
        <v>35.606699999999996</v>
      </c>
      <c r="AN143" s="392"/>
    </row>
    <row r="144" spans="1:40" ht="15.95" customHeight="1">
      <c r="A144" s="119">
        <v>1002</v>
      </c>
      <c r="B144" s="107" t="s">
        <v>518</v>
      </c>
      <c r="C144" s="114" t="s">
        <v>294</v>
      </c>
      <c r="D144" s="110" t="s">
        <v>706</v>
      </c>
      <c r="E144" s="109" t="s">
        <v>1447</v>
      </c>
      <c r="F144" s="111" t="s">
        <v>9</v>
      </c>
      <c r="G144" s="112" t="s">
        <v>127</v>
      </c>
      <c r="H144" s="112" t="s">
        <v>541</v>
      </c>
      <c r="I144" s="112" t="s">
        <v>141</v>
      </c>
      <c r="J144" s="112" t="s">
        <v>547</v>
      </c>
      <c r="K144" s="136" t="s">
        <v>707</v>
      </c>
      <c r="L144" s="122"/>
      <c r="M144" s="122"/>
      <c r="N144" s="122"/>
      <c r="O144" s="122"/>
      <c r="P144" s="122"/>
      <c r="Q144" s="122"/>
      <c r="R144" s="121">
        <v>27</v>
      </c>
      <c r="S144" s="135" t="s">
        <v>1072</v>
      </c>
      <c r="T144" s="122"/>
      <c r="U144" s="122"/>
      <c r="V144" s="122"/>
      <c r="W144" s="122"/>
      <c r="X144" s="121">
        <v>7.2</v>
      </c>
      <c r="Y144" s="139" t="s">
        <v>1070</v>
      </c>
      <c r="Z144" s="122"/>
      <c r="AA144" s="122"/>
      <c r="AB144" s="122"/>
      <c r="AC144" s="122">
        <v>6.9</v>
      </c>
      <c r="AD144" s="139" t="s">
        <v>1336</v>
      </c>
      <c r="AE144" s="122"/>
      <c r="AF144" s="122" t="s">
        <v>247</v>
      </c>
      <c r="AG144" s="122" t="s">
        <v>247</v>
      </c>
      <c r="AH144" s="121">
        <v>2.6000000000010459</v>
      </c>
      <c r="AI144" s="139" t="s">
        <v>1073</v>
      </c>
      <c r="AJ144" s="121">
        <v>2.400000000001512</v>
      </c>
      <c r="AK144" s="122" t="s">
        <v>247</v>
      </c>
      <c r="AL144" s="554" t="s">
        <v>1380</v>
      </c>
      <c r="AM144" s="555">
        <v>44.062100000000001</v>
      </c>
      <c r="AN144" s="392"/>
    </row>
    <row r="145" spans="1:40" ht="15.95" customHeight="1">
      <c r="A145" s="119">
        <v>1003</v>
      </c>
      <c r="B145" s="107" t="s">
        <v>520</v>
      </c>
      <c r="C145" s="114" t="s">
        <v>294</v>
      </c>
      <c r="D145" s="110" t="s">
        <v>649</v>
      </c>
      <c r="E145" s="109" t="s">
        <v>179</v>
      </c>
      <c r="F145" s="111" t="s">
        <v>9</v>
      </c>
      <c r="G145" s="112" t="s">
        <v>10</v>
      </c>
      <c r="H145" s="112" t="s">
        <v>541</v>
      </c>
      <c r="I145" s="112" t="s">
        <v>141</v>
      </c>
      <c r="J145" s="112" t="s">
        <v>547</v>
      </c>
      <c r="K145" s="136" t="s">
        <v>707</v>
      </c>
      <c r="L145" s="122"/>
      <c r="M145" s="122"/>
      <c r="N145" s="122"/>
      <c r="O145" s="122"/>
      <c r="P145" s="122"/>
      <c r="Q145" s="122"/>
      <c r="R145" s="121">
        <v>32.299999999999997</v>
      </c>
      <c r="S145" s="135" t="s">
        <v>1072</v>
      </c>
      <c r="T145" s="122"/>
      <c r="U145" s="122"/>
      <c r="V145" s="122"/>
      <c r="W145" s="122"/>
      <c r="X145" s="122">
        <v>-9.6</v>
      </c>
      <c r="Y145" s="139" t="s">
        <v>1070</v>
      </c>
      <c r="Z145" s="122"/>
      <c r="AA145" s="122"/>
      <c r="AB145" s="122"/>
      <c r="AC145" s="122">
        <v>0.9</v>
      </c>
      <c r="AD145" s="139" t="s">
        <v>1336</v>
      </c>
      <c r="AE145" s="122"/>
      <c r="AF145" s="122" t="s">
        <v>247</v>
      </c>
      <c r="AG145" s="122" t="s">
        <v>247</v>
      </c>
      <c r="AH145" s="121">
        <v>-1.2000000000043087</v>
      </c>
      <c r="AI145" s="139" t="s">
        <v>1073</v>
      </c>
      <c r="AJ145" s="121">
        <v>2.6000000000010459</v>
      </c>
      <c r="AK145" s="122" t="s">
        <v>247</v>
      </c>
      <c r="AL145" s="554" t="s">
        <v>1380</v>
      </c>
      <c r="AM145" s="555">
        <v>32.077300000000001</v>
      </c>
      <c r="AN145" s="392"/>
    </row>
    <row r="146" spans="1:40">
      <c r="AI146"/>
      <c r="AJ146"/>
      <c r="AK146" s="628"/>
    </row>
    <row r="147" spans="1:40">
      <c r="A147" s="101">
        <v>1</v>
      </c>
      <c r="B147" s="100" t="s">
        <v>1254</v>
      </c>
      <c r="C147" s="101">
        <v>3</v>
      </c>
      <c r="D147" s="102">
        <v>4</v>
      </c>
      <c r="E147" s="102">
        <v>5</v>
      </c>
      <c r="F147" s="101">
        <v>6</v>
      </c>
      <c r="G147" s="101">
        <v>7</v>
      </c>
      <c r="H147" s="101">
        <v>8</v>
      </c>
      <c r="I147" s="101">
        <v>9</v>
      </c>
      <c r="J147" s="101">
        <v>10</v>
      </c>
      <c r="K147" s="102">
        <f>-I147</f>
        <v>-9</v>
      </c>
      <c r="AA147">
        <f t="shared" ref="AA147:AH147" si="0">COUNTIF(AA5:AA145, "=0")</f>
        <v>0</v>
      </c>
      <c r="AB147">
        <f t="shared" si="0"/>
        <v>3</v>
      </c>
      <c r="AC147">
        <f t="shared" si="0"/>
        <v>1</v>
      </c>
      <c r="AD147">
        <f t="shared" si="0"/>
        <v>1</v>
      </c>
      <c r="AE147">
        <f t="shared" si="0"/>
        <v>3</v>
      </c>
      <c r="AF147">
        <f t="shared" si="0"/>
        <v>1</v>
      </c>
      <c r="AG147">
        <f t="shared" si="0"/>
        <v>0</v>
      </c>
      <c r="AH147">
        <f t="shared" si="0"/>
        <v>0</v>
      </c>
      <c r="AI147">
        <f>COUNTIF(AI5:AI145, "=0")</f>
        <v>1</v>
      </c>
      <c r="AJ147">
        <f>COUNTIF(AJ5:AJ145, "=0")</f>
        <v>0</v>
      </c>
      <c r="AK147" s="628">
        <f>COUNTIF(AK5:AK145, "=0")</f>
        <v>0</v>
      </c>
      <c r="AL147" s="525" t="s">
        <v>1373</v>
      </c>
    </row>
    <row r="148" spans="1:40">
      <c r="AA148">
        <f t="shared" ref="AA148:AH148" si="1">COUNTIF(AA5:AA145, "&lt;0")</f>
        <v>17</v>
      </c>
      <c r="AB148">
        <f t="shared" si="1"/>
        <v>18</v>
      </c>
      <c r="AC148">
        <f t="shared" si="1"/>
        <v>21</v>
      </c>
      <c r="AD148">
        <f t="shared" si="1"/>
        <v>20</v>
      </c>
      <c r="AE148">
        <f t="shared" si="1"/>
        <v>11</v>
      </c>
      <c r="AF148">
        <f t="shared" si="1"/>
        <v>19</v>
      </c>
      <c r="AG148">
        <f t="shared" si="1"/>
        <v>0</v>
      </c>
      <c r="AH148">
        <f t="shared" si="1"/>
        <v>5</v>
      </c>
      <c r="AI148">
        <f>COUNTIF(AI5:AI145, "&lt;0")</f>
        <v>16</v>
      </c>
      <c r="AJ148">
        <f>COUNTIF(AJ5:AJ145, "&lt;0")</f>
        <v>5</v>
      </c>
      <c r="AK148" s="628">
        <f>COUNTIF(AK5:AK145, "&lt;0")</f>
        <v>3</v>
      </c>
      <c r="AL148" s="525" t="s">
        <v>1372</v>
      </c>
    </row>
    <row r="149" spans="1:40">
      <c r="AA149">
        <f t="shared" ref="AA149:AH149" si="2">COUNTIF(AA5:AA145, "&gt;0")</f>
        <v>31</v>
      </c>
      <c r="AB149">
        <f t="shared" si="2"/>
        <v>18</v>
      </c>
      <c r="AC149">
        <f t="shared" si="2"/>
        <v>30</v>
      </c>
      <c r="AD149">
        <f t="shared" si="2"/>
        <v>19</v>
      </c>
      <c r="AE149">
        <f t="shared" si="2"/>
        <v>33</v>
      </c>
      <c r="AF149">
        <f t="shared" si="2"/>
        <v>28</v>
      </c>
      <c r="AG149">
        <f t="shared" si="2"/>
        <v>38</v>
      </c>
      <c r="AH149">
        <f t="shared" si="2"/>
        <v>43</v>
      </c>
      <c r="AI149">
        <f>COUNTIF(AI5:AI145, "&gt;0")</f>
        <v>20</v>
      </c>
      <c r="AJ149">
        <f>COUNTIF(AJ5:AJ145, "&gt;0")</f>
        <v>30</v>
      </c>
      <c r="AK149" s="628">
        <f>COUNTIF(AK5:AK145, "&gt;0")</f>
        <v>30</v>
      </c>
      <c r="AL149" s="525" t="s">
        <v>1371</v>
      </c>
      <c r="AM149" s="526"/>
    </row>
    <row r="150" spans="1:40">
      <c r="AA150" s="524">
        <f>MAX(AA5:AA145)</f>
        <v>31.5</v>
      </c>
      <c r="AB150" s="524">
        <f t="shared" ref="AB150:AJ150" si="3">MAX(AB5:AB145)</f>
        <v>15.6</v>
      </c>
      <c r="AC150" s="524">
        <f t="shared" si="3"/>
        <v>11.2</v>
      </c>
      <c r="AD150" s="524">
        <f t="shared" si="3"/>
        <v>10.5</v>
      </c>
      <c r="AE150" s="524">
        <f t="shared" si="3"/>
        <v>13.9</v>
      </c>
      <c r="AF150" s="524">
        <f t="shared" si="3"/>
        <v>29.099999999999682</v>
      </c>
      <c r="AG150" s="524">
        <f t="shared" si="3"/>
        <v>57.199999999999918</v>
      </c>
      <c r="AH150" s="524">
        <f t="shared" si="3"/>
        <v>15.799999999999592</v>
      </c>
      <c r="AI150" s="524">
        <f t="shared" si="3"/>
        <v>41.399999999999878</v>
      </c>
      <c r="AJ150" s="524">
        <f t="shared" si="3"/>
        <v>32.300000000000217</v>
      </c>
      <c r="AK150" s="524">
        <f>MAX(AK5:AK145)</f>
        <v>37.800000000000281</v>
      </c>
      <c r="AL150" s="330" t="s">
        <v>1370</v>
      </c>
    </row>
    <row r="151" spans="1:40">
      <c r="AI151"/>
      <c r="AJ151"/>
      <c r="AK151" s="628"/>
    </row>
    <row r="152" spans="1:40">
      <c r="AI152"/>
      <c r="AJ152"/>
      <c r="AK152" s="628"/>
    </row>
    <row r="153" spans="1:40">
      <c r="AI153"/>
      <c r="AJ153"/>
      <c r="AK153" s="628"/>
    </row>
    <row r="154" spans="1:40">
      <c r="AI154"/>
      <c r="AJ154"/>
      <c r="AK154" s="628"/>
    </row>
    <row r="155" spans="1:40">
      <c r="AI155"/>
      <c r="AJ155"/>
      <c r="AK155" s="628"/>
    </row>
    <row r="156" spans="1:40">
      <c r="AI156"/>
      <c r="AJ156"/>
      <c r="AK156" s="628"/>
    </row>
    <row r="157" spans="1:40">
      <c r="AI157"/>
      <c r="AJ157"/>
      <c r="AK157" s="628"/>
    </row>
    <row r="158" spans="1:40">
      <c r="AI158"/>
      <c r="AJ158"/>
      <c r="AK158" s="628"/>
    </row>
    <row r="159" spans="1:40">
      <c r="AI159"/>
      <c r="AJ159"/>
      <c r="AK159" s="628"/>
    </row>
    <row r="160" spans="1:40">
      <c r="AI160"/>
      <c r="AJ160"/>
      <c r="AK160" s="628"/>
    </row>
    <row r="161" spans="35:37">
      <c r="AI161"/>
      <c r="AJ161"/>
      <c r="AK161" s="628"/>
    </row>
    <row r="162" spans="35:37">
      <c r="AI162"/>
      <c r="AJ162"/>
      <c r="AK162" s="628"/>
    </row>
    <row r="163" spans="35:37">
      <c r="AI163"/>
      <c r="AJ163"/>
      <c r="AK163" s="628"/>
    </row>
  </sheetData>
  <autoFilter ref="A4:AN145" xr:uid="{00000000-0009-0000-0000-000000000000}"/>
  <mergeCells count="12">
    <mergeCell ref="AN3:A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L3:AM3"/>
  </mergeCells>
  <phoneticPr fontId="1"/>
  <printOptions horizontalCentered="1"/>
  <pageMargins left="1.1811023622047245" right="0.39370078740157483" top="0.74803149606299213" bottom="0.39370078740157483" header="0.11811023622047245" footer="0.11811023622047245"/>
  <pageSetup paperSize="8" scale="52" fitToHeight="0" orientation="landscape" r:id="rId1"/>
  <headerFooter alignWithMargins="0"/>
  <rowBreaks count="1" manualBreakCount="1">
    <brk id="86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154"/>
  <sheetViews>
    <sheetView view="pageBreakPreview" zoomScale="70" zoomScaleNormal="85" zoomScaleSheetLayoutView="70" workbookViewId="0">
      <pane xSplit="2" ySplit="4" topLeftCell="C5" activePane="bottomRight" state="frozen"/>
      <selection activeCell="F24" sqref="F1:F1048576"/>
      <selection pane="topRight" activeCell="F24" sqref="F1:F1048576"/>
      <selection pane="bottomLeft" activeCell="F24" sqref="F1:F1048576"/>
      <selection pane="bottomRight" activeCell="F24" sqref="F1:F1048576"/>
    </sheetView>
  </sheetViews>
  <sheetFormatPr defaultRowHeight="17.100000000000001" customHeight="1"/>
  <cols>
    <col min="1" max="1" width="5.625" style="14" customWidth="1"/>
    <col min="2" max="2" width="8.625" style="51" customWidth="1"/>
    <col min="3" max="3" width="5.625" style="3" customWidth="1"/>
    <col min="4" max="4" width="24" style="65" bestFit="1" customWidth="1"/>
    <col min="5" max="6" width="20.625" style="65" customWidth="1"/>
    <col min="7" max="9" width="5.625" style="3" customWidth="1"/>
    <col min="10" max="11" width="9.625" style="3" customWidth="1"/>
    <col min="12" max="12" width="5.625" style="4" hidden="1" customWidth="1"/>
    <col min="13" max="13" width="9.625" style="18" hidden="1" customWidth="1"/>
    <col min="14" max="14" width="5.625" style="79" customWidth="1"/>
    <col min="15" max="15" width="9.625" style="16" customWidth="1"/>
    <col min="16" max="16" width="5.625" style="91" customWidth="1"/>
    <col min="17" max="17" width="6.625" style="85" customWidth="1"/>
    <col min="18" max="18" width="2.625" style="2" customWidth="1"/>
    <col min="19" max="19" width="5.625" style="1" customWidth="1"/>
    <col min="20" max="27" width="9.625" style="17" customWidth="1"/>
    <col min="28" max="28" width="5.625" style="79" customWidth="1"/>
    <col min="29" max="29" width="9.625" style="16" customWidth="1"/>
    <col min="30" max="36" width="10.625" style="17" customWidth="1"/>
    <col min="37" max="38" width="9" style="1" customWidth="1"/>
    <col min="39" max="16384" width="9" style="1"/>
  </cols>
  <sheetData>
    <row r="1" spans="1:50" ht="30" customHeight="1">
      <c r="N1" s="683" t="s">
        <v>1185</v>
      </c>
      <c r="O1" s="683"/>
      <c r="P1" s="683"/>
      <c r="Q1" s="683"/>
      <c r="AB1" s="17"/>
      <c r="AC1" s="17"/>
      <c r="AD1" s="456" t="s">
        <v>1332</v>
      </c>
    </row>
    <row r="2" spans="1:50" s="324" customFormat="1" ht="9.9499999999999993" customHeight="1" thickBot="1">
      <c r="A2" s="322">
        <v>1</v>
      </c>
      <c r="B2" s="323">
        <f>A2+1</f>
        <v>2</v>
      </c>
      <c r="C2" s="323">
        <f t="shared" ref="C2:AA2" si="0">B2+1</f>
        <v>3</v>
      </c>
      <c r="D2" s="323">
        <f t="shared" si="0"/>
        <v>4</v>
      </c>
      <c r="E2" s="323">
        <f t="shared" si="0"/>
        <v>5</v>
      </c>
      <c r="F2" s="323">
        <f t="shared" si="0"/>
        <v>6</v>
      </c>
      <c r="G2" s="323">
        <f t="shared" si="0"/>
        <v>7</v>
      </c>
      <c r="H2" s="323">
        <f t="shared" si="0"/>
        <v>8</v>
      </c>
      <c r="I2" s="323">
        <f t="shared" si="0"/>
        <v>9</v>
      </c>
      <c r="J2" s="323">
        <f t="shared" si="0"/>
        <v>10</v>
      </c>
      <c r="K2" s="323">
        <f t="shared" si="0"/>
        <v>11</v>
      </c>
      <c r="L2" s="323">
        <f t="shared" si="0"/>
        <v>12</v>
      </c>
      <c r="M2" s="323">
        <f t="shared" si="0"/>
        <v>13</v>
      </c>
      <c r="N2" s="323">
        <f t="shared" si="0"/>
        <v>14</v>
      </c>
      <c r="O2" s="323">
        <f t="shared" si="0"/>
        <v>15</v>
      </c>
      <c r="P2" s="323">
        <f t="shared" si="0"/>
        <v>16</v>
      </c>
      <c r="Q2" s="323">
        <f t="shared" si="0"/>
        <v>17</v>
      </c>
      <c r="R2" s="323">
        <f t="shared" si="0"/>
        <v>18</v>
      </c>
      <c r="S2" s="323">
        <f t="shared" si="0"/>
        <v>19</v>
      </c>
      <c r="T2" s="323">
        <f t="shared" si="0"/>
        <v>20</v>
      </c>
      <c r="U2" s="323">
        <f t="shared" si="0"/>
        <v>21</v>
      </c>
      <c r="V2" s="323">
        <f t="shared" si="0"/>
        <v>22</v>
      </c>
      <c r="W2" s="323">
        <f t="shared" si="0"/>
        <v>23</v>
      </c>
      <c r="X2" s="323">
        <f t="shared" si="0"/>
        <v>24</v>
      </c>
      <c r="Y2" s="323">
        <f t="shared" si="0"/>
        <v>25</v>
      </c>
      <c r="Z2" s="323">
        <f t="shared" si="0"/>
        <v>26</v>
      </c>
      <c r="AA2" s="323">
        <f t="shared" si="0"/>
        <v>27</v>
      </c>
      <c r="AB2" s="323">
        <f t="shared" ref="AB2" si="1">AA2+1</f>
        <v>28</v>
      </c>
      <c r="AC2" s="323">
        <f t="shared" ref="AC2" si="2">AB2+1</f>
        <v>29</v>
      </c>
      <c r="AD2" s="323">
        <f t="shared" ref="AD2" si="3">AC2+1</f>
        <v>30</v>
      </c>
      <c r="AE2" s="323">
        <f t="shared" ref="AE2" si="4">AD2+1</f>
        <v>31</v>
      </c>
      <c r="AF2" s="323">
        <f t="shared" ref="AF2" si="5">AE2+1</f>
        <v>32</v>
      </c>
      <c r="AG2" s="323">
        <f t="shared" ref="AG2" si="6">AF2+1</f>
        <v>33</v>
      </c>
      <c r="AH2" s="323">
        <f t="shared" ref="AH2" si="7">AG2+1</f>
        <v>34</v>
      </c>
      <c r="AI2" s="323">
        <f>AH2+1</f>
        <v>35</v>
      </c>
      <c r="AJ2" s="323">
        <f>AI2+1</f>
        <v>36</v>
      </c>
      <c r="AM2" s="324" t="s">
        <v>1527</v>
      </c>
      <c r="AO2" s="324" t="s">
        <v>1501</v>
      </c>
      <c r="AQ2" s="324" t="s">
        <v>1379</v>
      </c>
      <c r="AS2" s="324" t="s">
        <v>1351</v>
      </c>
      <c r="AU2" s="324" t="s">
        <v>1330</v>
      </c>
      <c r="AW2" s="324" t="s">
        <v>1331</v>
      </c>
    </row>
    <row r="3" spans="1:50" s="20" customFormat="1" ht="15" customHeight="1" thickBot="1">
      <c r="A3" s="688" t="s">
        <v>601</v>
      </c>
      <c r="B3" s="247" t="s">
        <v>1082</v>
      </c>
      <c r="C3" s="688" t="s">
        <v>1078</v>
      </c>
      <c r="D3" s="246" t="s">
        <v>1080</v>
      </c>
      <c r="E3" s="246" t="s">
        <v>1079</v>
      </c>
      <c r="F3" s="690" t="s">
        <v>1109</v>
      </c>
      <c r="G3" s="688" t="s">
        <v>2</v>
      </c>
      <c r="H3" s="686" t="s">
        <v>3</v>
      </c>
      <c r="I3" s="686" t="s">
        <v>4</v>
      </c>
      <c r="J3" s="686" t="s">
        <v>5</v>
      </c>
      <c r="K3" s="684" t="s">
        <v>262</v>
      </c>
      <c r="L3" s="37" t="s">
        <v>538</v>
      </c>
      <c r="M3" s="38"/>
      <c r="N3" s="372" t="s">
        <v>1077</v>
      </c>
      <c r="O3" s="238"/>
      <c r="P3" s="249" t="s">
        <v>1086</v>
      </c>
      <c r="Q3" s="250"/>
      <c r="S3" s="237" t="s">
        <v>1076</v>
      </c>
      <c r="T3" s="238"/>
      <c r="U3" s="239" t="s">
        <v>537</v>
      </c>
      <c r="V3" s="240" t="s">
        <v>1295</v>
      </c>
      <c r="W3" s="240" t="s">
        <v>1294</v>
      </c>
      <c r="X3" s="240" t="s">
        <v>1293</v>
      </c>
      <c r="Y3" s="240" t="s">
        <v>1292</v>
      </c>
      <c r="Z3" s="240" t="s">
        <v>1291</v>
      </c>
      <c r="AA3" s="241" t="s">
        <v>1526</v>
      </c>
      <c r="AB3" s="372" t="s">
        <v>1077</v>
      </c>
      <c r="AC3" s="238"/>
      <c r="AD3" s="436" t="s">
        <v>1285</v>
      </c>
      <c r="AE3" s="437" t="s">
        <v>1286</v>
      </c>
      <c r="AF3" s="437" t="s">
        <v>1287</v>
      </c>
      <c r="AG3" s="437" t="s">
        <v>1288</v>
      </c>
      <c r="AH3" s="437" t="s">
        <v>1289</v>
      </c>
      <c r="AI3" s="437" t="s">
        <v>1290</v>
      </c>
      <c r="AJ3" s="652" t="s">
        <v>1525</v>
      </c>
      <c r="AM3" s="20" t="s">
        <v>634</v>
      </c>
      <c r="AN3" s="20" t="s">
        <v>1077</v>
      </c>
      <c r="AO3" s="20" t="s">
        <v>634</v>
      </c>
      <c r="AP3" s="20" t="s">
        <v>1077</v>
      </c>
      <c r="AQ3" s="20" t="s">
        <v>634</v>
      </c>
      <c r="AR3" s="20" t="s">
        <v>1077</v>
      </c>
      <c r="AS3" s="20" t="s">
        <v>634</v>
      </c>
      <c r="AT3" s="20" t="s">
        <v>1077</v>
      </c>
      <c r="AU3" s="20" t="s">
        <v>1329</v>
      </c>
      <c r="AV3" s="20" t="s">
        <v>1328</v>
      </c>
      <c r="AW3" s="20" t="s">
        <v>1329</v>
      </c>
      <c r="AX3" s="20" t="s">
        <v>1328</v>
      </c>
    </row>
    <row r="4" spans="1:50" s="20" customFormat="1" ht="15" customHeight="1" thickBot="1">
      <c r="A4" s="689"/>
      <c r="B4" s="248" t="s">
        <v>1083</v>
      </c>
      <c r="C4" s="689"/>
      <c r="D4" s="245" t="s">
        <v>1081</v>
      </c>
      <c r="E4" s="245" t="s">
        <v>1110</v>
      </c>
      <c r="F4" s="691"/>
      <c r="G4" s="689"/>
      <c r="H4" s="687"/>
      <c r="I4" s="687"/>
      <c r="J4" s="687"/>
      <c r="K4" s="685"/>
      <c r="L4" s="37" t="s">
        <v>538</v>
      </c>
      <c r="M4" s="38"/>
      <c r="N4" s="373" t="s">
        <v>1084</v>
      </c>
      <c r="O4" s="236"/>
      <c r="P4" s="251" t="s">
        <v>1085</v>
      </c>
      <c r="Q4" s="252"/>
      <c r="S4" s="235" t="s">
        <v>1075</v>
      </c>
      <c r="T4" s="236"/>
      <c r="U4" s="242">
        <v>2018</v>
      </c>
      <c r="V4" s="243">
        <v>2019</v>
      </c>
      <c r="W4" s="243">
        <v>2020</v>
      </c>
      <c r="X4" s="243">
        <v>2021</v>
      </c>
      <c r="Y4" s="243">
        <v>2022</v>
      </c>
      <c r="Z4" s="243">
        <v>2023</v>
      </c>
      <c r="AA4" s="244">
        <v>2024</v>
      </c>
      <c r="AB4" s="373" t="s">
        <v>631</v>
      </c>
      <c r="AC4" s="236"/>
      <c r="AD4" s="438" t="s">
        <v>1085</v>
      </c>
      <c r="AE4" s="439" t="s">
        <v>1085</v>
      </c>
      <c r="AF4" s="439" t="s">
        <v>1085</v>
      </c>
      <c r="AG4" s="439" t="s">
        <v>1085</v>
      </c>
      <c r="AH4" s="439" t="s">
        <v>1085</v>
      </c>
      <c r="AI4" s="439" t="s">
        <v>1085</v>
      </c>
      <c r="AJ4" s="653" t="s">
        <v>1085</v>
      </c>
    </row>
    <row r="5" spans="1:50" ht="17.100000000000001" customHeight="1">
      <c r="A5" s="6">
        <v>101</v>
      </c>
      <c r="B5" s="52" t="s">
        <v>582</v>
      </c>
      <c r="C5" s="6" t="s">
        <v>6</v>
      </c>
      <c r="D5" s="66" t="s">
        <v>7</v>
      </c>
      <c r="E5" s="66" t="s">
        <v>7</v>
      </c>
      <c r="F5" s="67" t="s">
        <v>8</v>
      </c>
      <c r="G5" s="19" t="s">
        <v>9</v>
      </c>
      <c r="H5" s="5" t="s">
        <v>10</v>
      </c>
      <c r="I5" s="5" t="s">
        <v>542</v>
      </c>
      <c r="J5" s="5" t="s">
        <v>11</v>
      </c>
      <c r="K5" s="5" t="s">
        <v>263</v>
      </c>
      <c r="L5" s="28" t="s">
        <v>546</v>
      </c>
      <c r="M5" s="29">
        <v>16.176500000000001</v>
      </c>
      <c r="N5" s="453" t="str" cm="1">
        <f t="array" ref="N5">_xlfn.XLOOKUP("?*",U5:Z5&amp;"",$U$3:$Z$3,S5,2,-1)</f>
        <v>R5</v>
      </c>
      <c r="O5" s="476" cm="1">
        <f t="array" ref="O5">_xlfn.XLOOKUP("?*",U5:Z5&amp;"",U5:Z5,T5,2,-1)</f>
        <v>16.055299999999999</v>
      </c>
      <c r="P5" s="92"/>
      <c r="Q5" s="466"/>
      <c r="S5" s="75" t="s">
        <v>1300</v>
      </c>
      <c r="T5" s="467">
        <v>16.062100000000001</v>
      </c>
      <c r="U5" s="468">
        <v>16.0609</v>
      </c>
      <c r="V5" s="469"/>
      <c r="W5" s="469">
        <v>16.0578</v>
      </c>
      <c r="X5" s="469"/>
      <c r="Y5" s="469"/>
      <c r="Z5" s="469">
        <v>16.055299999999999</v>
      </c>
      <c r="AA5" s="471"/>
      <c r="AB5" s="80"/>
      <c r="AC5" s="465"/>
      <c r="AD5" s="472">
        <f t="shared" ref="AD5:AD37" si="8">IF(U5="","",-(U5-T5)*1000)</f>
        <v>1.200000000000756</v>
      </c>
      <c r="AE5" s="473" t="str">
        <f t="shared" ref="AE5:AE37" si="9">IF(V5="","",IF(U5="",-(V5-T5)*1000,-(V5-U5)*1000))</f>
        <v/>
      </c>
      <c r="AF5" s="473">
        <f>IF(W5="","",($AV5-$AX5)*(-1000))</f>
        <v>3.0999999999998806</v>
      </c>
      <c r="AG5" s="473" t="str">
        <f t="shared" ref="AG5:AG36" si="10">IF(X5="","",($AT5-$AV5)*(-1000))</f>
        <v/>
      </c>
      <c r="AH5" s="473" t="str">
        <f t="shared" ref="AH5:AH36" si="11">IF(Y5="","",($AR5-$AT5)*(-1000))</f>
        <v/>
      </c>
      <c r="AI5" s="656">
        <f>IF(Z5="","",($AP5-$AR5)*(-1000))</f>
        <v>2.500000000001279</v>
      </c>
      <c r="AJ5" s="654" t="str">
        <f>IF(AA5="","",($AN5-$AP5)*(-1000))</f>
        <v/>
      </c>
      <c r="AK5" s="79"/>
      <c r="AL5" s="79"/>
      <c r="AM5" s="477" t="str" cm="1">
        <f t="array" ref="AM5">_xlfn.XLOOKUP("?*",U5:AA5&amp;"",$U$3:$AA$3,S5,2,-1)</f>
        <v>R5</v>
      </c>
      <c r="AN5" s="477" cm="1">
        <f t="array" ref="AN5">_xlfn.XLOOKUP("?*",U5:AA5&amp;"",U5:AA5,T5,2,-1)</f>
        <v>16.055299999999999</v>
      </c>
      <c r="AO5" s="477" t="str" cm="1">
        <f t="array" ref="AO5">_xlfn.XLOOKUP("?*",U5:Z5&amp;"",$U$3:$Z$3,S5,2,-1)</f>
        <v>R5</v>
      </c>
      <c r="AP5" s="477" cm="1">
        <f t="array" ref="AP5">_xlfn.XLOOKUP("?*",U5:Z5&amp;"",U5:Z5,T5,2,-1)</f>
        <v>16.055299999999999</v>
      </c>
      <c r="AQ5" s="477" t="str" cm="1">
        <f t="array" ref="AQ5">_xlfn.XLOOKUP("?*",U5:Y5&amp;"",$U$3:$Y$3,S5,2,-1)</f>
        <v>R2</v>
      </c>
      <c r="AR5" s="477" cm="1">
        <f t="array" ref="AR5">_xlfn.XLOOKUP("?*",U5:Y5&amp;"",U5:Y5,T5,2,-1)</f>
        <v>16.0578</v>
      </c>
      <c r="AS5" s="477" t="str" cm="1">
        <f t="array" ref="AS5">_xlfn.XLOOKUP("?*",U5:X5&amp;"",$U$3:$X$3,S5,2,-1)</f>
        <v>R2</v>
      </c>
      <c r="AT5" s="477" cm="1">
        <f t="array" ref="AT5">_xlfn.XLOOKUP("?*",U5:X5&amp;"",U5:X5,T5,2,-1)</f>
        <v>16.0578</v>
      </c>
      <c r="AU5" s="1" t="str">
        <f t="shared" ref="AU5:AU36" si="12">IF(W5="",IF(V5="",IF(U5="",$S5,$U$3),$V$3),$W$3)</f>
        <v>R2</v>
      </c>
      <c r="AV5" s="1">
        <f t="shared" ref="AV5:AV36" si="13">IF(W5="",IF(V5="",IF(U5="",T5,U5),V5),W5)</f>
        <v>16.0578</v>
      </c>
      <c r="AW5" s="1" t="str">
        <f t="shared" ref="AW5:AW36" si="14">IF(V5="",IF(U5="",$S5,$U$3),$V$3)</f>
        <v>H30</v>
      </c>
      <c r="AX5" s="1">
        <f t="shared" ref="AX5:AX36" si="15">IF(V5="",IF(U5="",T5,U5),V5)</f>
        <v>16.0609</v>
      </c>
    </row>
    <row r="6" spans="1:50" ht="17.100000000000001" customHeight="1">
      <c r="A6" s="10">
        <v>102</v>
      </c>
      <c r="B6" s="592">
        <v>8561</v>
      </c>
      <c r="C6" s="10" t="s">
        <v>6</v>
      </c>
      <c r="D6" s="69" t="s">
        <v>693</v>
      </c>
      <c r="E6" s="69" t="s">
        <v>693</v>
      </c>
      <c r="F6" s="70" t="s">
        <v>1400</v>
      </c>
      <c r="G6" s="26" t="s">
        <v>12</v>
      </c>
      <c r="H6" s="8" t="s">
        <v>10</v>
      </c>
      <c r="I6" s="8" t="s">
        <v>541</v>
      </c>
      <c r="J6" s="8" t="s">
        <v>11</v>
      </c>
      <c r="K6" s="9" t="s">
        <v>263</v>
      </c>
      <c r="L6" s="30" t="s">
        <v>543</v>
      </c>
      <c r="M6" s="31">
        <v>18.177</v>
      </c>
      <c r="N6" s="563" t="str" cm="1">
        <f t="array" ref="N6">_xlfn.XLOOKUP("?*",U6:Z6&amp;"",$U$3:$Z$3,S6,2,-1)</f>
        <v>R5</v>
      </c>
      <c r="O6" s="565" cm="1">
        <f t="array" ref="O6">_xlfn.XLOOKUP("?*",U6:Z6&amp;"",U6:Z6,T6,2,-1)</f>
        <v>17.855399999999999</v>
      </c>
      <c r="P6" s="329"/>
      <c r="Q6" s="87"/>
      <c r="S6" s="76" t="s">
        <v>1301</v>
      </c>
      <c r="T6" s="34">
        <v>17.8583</v>
      </c>
      <c r="U6" s="39">
        <v>17.8583</v>
      </c>
      <c r="V6" s="40"/>
      <c r="W6" s="40">
        <v>17.8552</v>
      </c>
      <c r="X6" s="40"/>
      <c r="Y6" s="40"/>
      <c r="Z6" s="40">
        <v>17.855399999999999</v>
      </c>
      <c r="AA6" s="41"/>
      <c r="AB6" s="81"/>
      <c r="AC6" s="21"/>
      <c r="AD6" s="442">
        <f t="shared" si="8"/>
        <v>0</v>
      </c>
      <c r="AE6" s="443" t="str">
        <f t="shared" si="9"/>
        <v/>
      </c>
      <c r="AF6" s="443">
        <f>IF(W6="","",($AV6-$AX6)*(-1000))</f>
        <v>3.0999999999998806</v>
      </c>
      <c r="AG6" s="478" t="str">
        <f t="shared" si="10"/>
        <v/>
      </c>
      <c r="AH6" s="443" t="str">
        <f t="shared" si="11"/>
        <v/>
      </c>
      <c r="AI6" s="441">
        <f>IF(Z6="","",($AP6-$AR6)*(-1000))</f>
        <v>-0.19999999999953388</v>
      </c>
      <c r="AJ6" s="655" t="str">
        <f>IF(AA6="","",($AN6-$AP6)*(-1000))</f>
        <v/>
      </c>
      <c r="AM6" s="477" t="str" cm="1">
        <f t="array" ref="AM6">_xlfn.XLOOKUP("?*",U6:AA6&amp;"",$U$3:$AA$3,S6,2,-1)</f>
        <v>R5</v>
      </c>
      <c r="AN6" s="477" cm="1">
        <f t="array" ref="AN6">_xlfn.XLOOKUP("?*",U6:AA6&amp;"",U6:AA6,T6,2,-1)</f>
        <v>17.855399999999999</v>
      </c>
      <c r="AO6" s="477" t="str" cm="1">
        <f t="array" ref="AO6">_xlfn.XLOOKUP("?*",U6:Z6&amp;"",$U$3:$Z$3,S6,2,-1)</f>
        <v>R5</v>
      </c>
      <c r="AP6" s="477" cm="1">
        <f t="array" ref="AP6">_xlfn.XLOOKUP("?*",U6:Z6&amp;"",U6:Z6,T6,2,-1)</f>
        <v>17.855399999999999</v>
      </c>
      <c r="AQ6" s="477" t="str" cm="1">
        <f t="array" ref="AQ6">_xlfn.XLOOKUP("?*",U6:Y6&amp;"",$U$3:$Y$3,S6,2,-1)</f>
        <v>R2</v>
      </c>
      <c r="AR6" s="477" cm="1">
        <f t="array" ref="AR6">_xlfn.XLOOKUP("?*",U6:Y6&amp;"",U6:Y6,T6,2,-1)</f>
        <v>17.8552</v>
      </c>
      <c r="AS6" s="477" t="str" cm="1">
        <f t="array" ref="AS6">_xlfn.XLOOKUP("?*",U6:X6&amp;"",$U$3:$X$3,S6,2,-1)</f>
        <v>R2</v>
      </c>
      <c r="AT6" s="477" cm="1">
        <f t="array" ref="AT6">_xlfn.XLOOKUP("?*",U6:X6&amp;"",U6:X6,T6,2,-1)</f>
        <v>17.8552</v>
      </c>
      <c r="AU6" s="1" t="str">
        <f t="shared" si="12"/>
        <v>R2</v>
      </c>
      <c r="AV6" s="1">
        <f t="shared" si="13"/>
        <v>17.8552</v>
      </c>
      <c r="AW6" s="1" t="str">
        <f t="shared" si="14"/>
        <v>H30</v>
      </c>
      <c r="AX6" s="1">
        <f t="shared" si="15"/>
        <v>17.8583</v>
      </c>
    </row>
    <row r="7" spans="1:50" ht="17.100000000000001" customHeight="1">
      <c r="A7" s="10">
        <v>103</v>
      </c>
      <c r="B7" s="53" t="s">
        <v>583</v>
      </c>
      <c r="C7" s="10" t="s">
        <v>6</v>
      </c>
      <c r="D7" s="69" t="s">
        <v>677</v>
      </c>
      <c r="E7" s="69" t="s">
        <v>677</v>
      </c>
      <c r="F7" s="70" t="s">
        <v>14</v>
      </c>
      <c r="G7" s="26" t="s">
        <v>9</v>
      </c>
      <c r="H7" s="8" t="s">
        <v>10</v>
      </c>
      <c r="I7" s="8" t="s">
        <v>541</v>
      </c>
      <c r="J7" s="8" t="s">
        <v>11</v>
      </c>
      <c r="K7" s="9" t="s">
        <v>263</v>
      </c>
      <c r="L7" s="30" t="s">
        <v>545</v>
      </c>
      <c r="M7" s="31">
        <v>17.4498</v>
      </c>
      <c r="N7" s="563" t="str" cm="1">
        <f t="array" ref="N7">_xlfn.XLOOKUP("?*",U7:Z7&amp;"",$U$3:$Z$3,S7,2,-1)</f>
        <v>R5</v>
      </c>
      <c r="O7" s="565" cm="1">
        <f t="array" ref="O7">_xlfn.XLOOKUP("?*",U7:Z7&amp;"",U7:Z7,T7,2,-1)</f>
        <v>17.549900000000001</v>
      </c>
      <c r="P7" s="92"/>
      <c r="Q7" s="87"/>
      <c r="S7" s="76" t="s">
        <v>1301</v>
      </c>
      <c r="T7" s="34">
        <v>17.276900000000001</v>
      </c>
      <c r="U7" s="39">
        <v>17.265999999999998</v>
      </c>
      <c r="V7" s="40"/>
      <c r="W7" s="40">
        <v>17.5504</v>
      </c>
      <c r="X7" s="40"/>
      <c r="Y7" s="40"/>
      <c r="Z7" s="40">
        <v>17.549900000000001</v>
      </c>
      <c r="AA7" s="41"/>
      <c r="AB7" s="81"/>
      <c r="AC7" s="21"/>
      <c r="AD7" s="442">
        <f t="shared" si="8"/>
        <v>10.900000000003018</v>
      </c>
      <c r="AE7" s="443" t="str">
        <f t="shared" si="9"/>
        <v/>
      </c>
      <c r="AF7" s="443">
        <f t="shared" ref="AF7:AF38" si="16">IF(W7="","",(AV7-AX7)*(-1000))</f>
        <v>-284.40000000000157</v>
      </c>
      <c r="AG7" s="478" t="str">
        <f t="shared" si="10"/>
        <v/>
      </c>
      <c r="AH7" s="443" t="str">
        <f t="shared" si="11"/>
        <v/>
      </c>
      <c r="AI7" s="441">
        <f t="shared" ref="AI7:AI70" si="17">IF(Z7="","",($AP7-$AR7)*(-1000))</f>
        <v>0.49999999999883471</v>
      </c>
      <c r="AJ7" s="655" t="str">
        <f t="shared" ref="AJ7:AJ70" si="18">IF(AA7="","",($AN7-$AP7)*(-1000))</f>
        <v/>
      </c>
      <c r="AM7" s="477" t="str" cm="1">
        <f t="array" ref="AM7">_xlfn.XLOOKUP("?*",U7:AA7&amp;"",$U$3:$AA$3,S7,2,-1)</f>
        <v>R5</v>
      </c>
      <c r="AN7" s="477" cm="1">
        <f t="array" ref="AN7">_xlfn.XLOOKUP("?*",U7:AA7&amp;"",U7:AA7,T7,2,-1)</f>
        <v>17.549900000000001</v>
      </c>
      <c r="AO7" s="477" t="str" cm="1">
        <f t="array" ref="AO7">_xlfn.XLOOKUP("?*",U7:Z7&amp;"",$U$3:$Z$3,S7,2,-1)</f>
        <v>R5</v>
      </c>
      <c r="AP7" s="477" cm="1">
        <f t="array" ref="AP7">_xlfn.XLOOKUP("?*",U7:Z7&amp;"",U7:Z7,T7,2,-1)</f>
        <v>17.549900000000001</v>
      </c>
      <c r="AQ7" s="477" t="str" cm="1">
        <f t="array" ref="AQ7">_xlfn.XLOOKUP("?*",U7:Y7&amp;"",$U$3:$Y$3,S7,2,-1)</f>
        <v>R2</v>
      </c>
      <c r="AR7" s="477" cm="1">
        <f t="array" ref="AR7">_xlfn.XLOOKUP("?*",U7:Y7&amp;"",U7:Y7,T7,2,-1)</f>
        <v>17.5504</v>
      </c>
      <c r="AS7" s="477" t="str" cm="1">
        <f t="array" ref="AS7">_xlfn.XLOOKUP("?*",U7:X7&amp;"",$U$3:$X$3,S7,2,-1)</f>
        <v>R2</v>
      </c>
      <c r="AT7" s="477" cm="1">
        <f t="array" ref="AT7">_xlfn.XLOOKUP("?*",U7:X7&amp;"",U7:X7,T7,2,-1)</f>
        <v>17.5504</v>
      </c>
      <c r="AU7" s="1" t="str">
        <f t="shared" si="12"/>
        <v>R2</v>
      </c>
      <c r="AV7" s="1">
        <f t="shared" si="13"/>
        <v>17.5504</v>
      </c>
      <c r="AW7" s="1" t="str">
        <f t="shared" si="14"/>
        <v>H30</v>
      </c>
      <c r="AX7" s="1">
        <f t="shared" si="15"/>
        <v>17.265999999999998</v>
      </c>
    </row>
    <row r="8" spans="1:50" ht="17.100000000000001" customHeight="1">
      <c r="A8" s="502">
        <v>104</v>
      </c>
      <c r="B8" s="503" t="s">
        <v>584</v>
      </c>
      <c r="C8" s="502" t="s">
        <v>6</v>
      </c>
      <c r="D8" s="504" t="s">
        <v>650</v>
      </c>
      <c r="E8" s="504" t="s">
        <v>650</v>
      </c>
      <c r="F8" s="484" t="s">
        <v>16</v>
      </c>
      <c r="G8" s="485" t="s">
        <v>9</v>
      </c>
      <c r="H8" s="486" t="s">
        <v>10</v>
      </c>
      <c r="I8" s="486" t="s">
        <v>541</v>
      </c>
      <c r="J8" s="486" t="s">
        <v>11</v>
      </c>
      <c r="K8" s="487" t="s">
        <v>263</v>
      </c>
      <c r="L8" s="30" t="s">
        <v>543</v>
      </c>
      <c r="M8" s="31">
        <v>15.956</v>
      </c>
      <c r="N8" s="563" t="str" cm="1">
        <f t="array" ref="N8">_xlfn.XLOOKUP("?*",U8:Z8&amp;"",$U$3:$Z$3,S8,2,-1)</f>
        <v>H27</v>
      </c>
      <c r="O8" s="565" cm="1">
        <f t="array" ref="O8">_xlfn.XLOOKUP("?*",U8:Z8&amp;"",U8:Z8,T8,2,-1)</f>
        <v>15.850899999999999</v>
      </c>
      <c r="P8" s="92"/>
      <c r="Q8" s="87"/>
      <c r="S8" s="76" t="s">
        <v>1302</v>
      </c>
      <c r="T8" s="34">
        <v>15.850899999999999</v>
      </c>
      <c r="U8" s="39"/>
      <c r="V8" s="40"/>
      <c r="W8" s="40"/>
      <c r="X8" s="40"/>
      <c r="Y8" s="40"/>
      <c r="Z8" s="40"/>
      <c r="AA8" s="41"/>
      <c r="AB8" s="81"/>
      <c r="AC8" s="21"/>
      <c r="AD8" s="442" t="str">
        <f t="shared" si="8"/>
        <v/>
      </c>
      <c r="AE8" s="443" t="str">
        <f t="shared" si="9"/>
        <v/>
      </c>
      <c r="AF8" s="443" t="str">
        <f t="shared" si="16"/>
        <v/>
      </c>
      <c r="AG8" s="478" t="str">
        <f t="shared" si="10"/>
        <v/>
      </c>
      <c r="AH8" s="443" t="str">
        <f t="shared" si="11"/>
        <v/>
      </c>
      <c r="AI8" s="441" t="str">
        <f t="shared" si="17"/>
        <v/>
      </c>
      <c r="AJ8" s="655" t="str">
        <f t="shared" si="18"/>
        <v/>
      </c>
      <c r="AM8" s="477" t="str" cm="1">
        <f t="array" ref="AM8">_xlfn.XLOOKUP("?*",U8:AA8&amp;"",$U$3:$AA$3,S8,2,-1)</f>
        <v>H27</v>
      </c>
      <c r="AN8" s="477" cm="1">
        <f t="array" ref="AN8">_xlfn.XLOOKUP("?*",U8:AA8&amp;"",U8:AA8,T8,2,-1)</f>
        <v>15.850899999999999</v>
      </c>
      <c r="AO8" s="477" t="str" cm="1">
        <f t="array" ref="AO8">_xlfn.XLOOKUP("?*",U8:Z8&amp;"",$U$3:$Z$3,S8,2,-1)</f>
        <v>H27</v>
      </c>
      <c r="AP8" s="477" cm="1">
        <f t="array" ref="AP8">_xlfn.XLOOKUP("?*",U8:Z8&amp;"",U8:Z8,T8,2,-1)</f>
        <v>15.850899999999999</v>
      </c>
      <c r="AQ8" s="477" t="str" cm="1">
        <f t="array" ref="AQ8">_xlfn.XLOOKUP("?*",U8:Y8&amp;"",$U$3:$Y$3,S8,2,-1)</f>
        <v>H27</v>
      </c>
      <c r="AR8" s="477" cm="1">
        <f t="array" ref="AR8">_xlfn.XLOOKUP("?*",U8:Y8&amp;"",U8:Y8,T8,2,-1)</f>
        <v>15.850899999999999</v>
      </c>
      <c r="AS8" s="477" t="str" cm="1">
        <f t="array" ref="AS8">_xlfn.XLOOKUP("?*",U8:X8&amp;"",$U$3:$X$3,S8,2,-1)</f>
        <v>H27</v>
      </c>
      <c r="AT8" s="477" cm="1">
        <f t="array" ref="AT8">_xlfn.XLOOKUP("?*",U8:X8&amp;"",U8:X8,T8,2,-1)</f>
        <v>15.850899999999999</v>
      </c>
      <c r="AU8" s="1" t="str">
        <f t="shared" si="12"/>
        <v>H27</v>
      </c>
      <c r="AV8" s="1">
        <f t="shared" si="13"/>
        <v>15.850899999999999</v>
      </c>
      <c r="AW8" s="1" t="str">
        <f t="shared" si="14"/>
        <v>H27</v>
      </c>
      <c r="AX8" s="1">
        <f t="shared" si="15"/>
        <v>15.850899999999999</v>
      </c>
    </row>
    <row r="9" spans="1:50" ht="17.100000000000001" customHeight="1">
      <c r="A9" s="10">
        <v>105</v>
      </c>
      <c r="B9" s="53" t="s">
        <v>585</v>
      </c>
      <c r="C9" s="10" t="s">
        <v>6</v>
      </c>
      <c r="D9" s="69" t="s">
        <v>1495</v>
      </c>
      <c r="E9" s="69" t="s">
        <v>1449</v>
      </c>
      <c r="F9" s="70" t="s">
        <v>18</v>
      </c>
      <c r="G9" s="26" t="s">
        <v>12</v>
      </c>
      <c r="H9" s="8" t="s">
        <v>19</v>
      </c>
      <c r="I9" s="8" t="s">
        <v>541</v>
      </c>
      <c r="J9" s="8" t="s">
        <v>11</v>
      </c>
      <c r="K9" s="9" t="s">
        <v>263</v>
      </c>
      <c r="L9" s="30" t="s">
        <v>543</v>
      </c>
      <c r="M9" s="31">
        <v>18.000299999999999</v>
      </c>
      <c r="N9" s="563" t="str" cm="1">
        <f t="array" ref="N9">_xlfn.XLOOKUP("?*",U9:Z9&amp;"",$U$3:$Z$3,S9,2,-1)</f>
        <v>R2</v>
      </c>
      <c r="O9" s="565" cm="1">
        <f t="array" ref="O9">_xlfn.XLOOKUP("?*",U9:Z9&amp;"",U9:Z9,T9,2,-1)</f>
        <v>17.899899999999999</v>
      </c>
      <c r="P9" s="92"/>
      <c r="Q9" s="87"/>
      <c r="S9" s="76" t="s">
        <v>1305</v>
      </c>
      <c r="T9" s="34">
        <v>17.903400000000001</v>
      </c>
      <c r="U9" s="39">
        <v>17.903600000000001</v>
      </c>
      <c r="V9" s="40">
        <v>17.901</v>
      </c>
      <c r="W9" s="40">
        <v>17.899899999999999</v>
      </c>
      <c r="X9" s="40"/>
      <c r="Y9" s="40"/>
      <c r="Z9" s="40"/>
      <c r="AA9" s="41">
        <v>17.900099999999998</v>
      </c>
      <c r="AB9" s="81"/>
      <c r="AC9" s="21"/>
      <c r="AD9" s="442">
        <f t="shared" si="8"/>
        <v>-0.19999999999953388</v>
      </c>
      <c r="AE9" s="443">
        <f t="shared" si="9"/>
        <v>2.6000000000010459</v>
      </c>
      <c r="AF9" s="443">
        <f t="shared" si="16"/>
        <v>1.1000000000009891</v>
      </c>
      <c r="AG9" s="478" t="str">
        <f t="shared" si="10"/>
        <v/>
      </c>
      <c r="AH9" s="443" t="str">
        <f t="shared" si="11"/>
        <v/>
      </c>
      <c r="AI9" s="441" t="str">
        <f t="shared" si="17"/>
        <v/>
      </c>
      <c r="AJ9" s="655">
        <f t="shared" si="18"/>
        <v>-0.19999999999953388</v>
      </c>
      <c r="AM9" s="477" t="str" cm="1">
        <f t="array" ref="AM9">_xlfn.XLOOKUP("?*",U9:AA9&amp;"",$U$3:$AA$3,S9,2,-1)</f>
        <v>R6</v>
      </c>
      <c r="AN9" s="477" cm="1">
        <f t="array" ref="AN9">_xlfn.XLOOKUP("?*",U9:AA9&amp;"",U9:AA9,T9,2,-1)</f>
        <v>17.900099999999998</v>
      </c>
      <c r="AO9" s="477" t="str" cm="1">
        <f t="array" ref="AO9">_xlfn.XLOOKUP("?*",U9:Z9&amp;"",$U$3:$Z$3,S9,2,-1)</f>
        <v>R2</v>
      </c>
      <c r="AP9" s="477" cm="1">
        <f t="array" ref="AP9">_xlfn.XLOOKUP("?*",U9:Z9&amp;"",U9:Z9,T9,2,-1)</f>
        <v>17.899899999999999</v>
      </c>
      <c r="AQ9" s="477" t="str" cm="1">
        <f t="array" ref="AQ9">_xlfn.XLOOKUP("?*",U9:Y9&amp;"",$U$3:$Y$3,S9,2,-1)</f>
        <v>R2</v>
      </c>
      <c r="AR9" s="477" cm="1">
        <f t="array" ref="AR9">_xlfn.XLOOKUP("?*",U9:Y9&amp;"",U9:Y9,T9,2,-1)</f>
        <v>17.899899999999999</v>
      </c>
      <c r="AS9" s="477" t="str" cm="1">
        <f t="array" ref="AS9">_xlfn.XLOOKUP("?*",U9:X9&amp;"",$U$3:$X$3,S9,2,-1)</f>
        <v>R2</v>
      </c>
      <c r="AT9" s="477" cm="1">
        <f t="array" ref="AT9">_xlfn.XLOOKUP("?*",U9:X9&amp;"",U9:X9,T9,2,-1)</f>
        <v>17.899899999999999</v>
      </c>
      <c r="AU9" s="1" t="str">
        <f t="shared" si="12"/>
        <v>R2</v>
      </c>
      <c r="AV9" s="1">
        <f t="shared" si="13"/>
        <v>17.899899999999999</v>
      </c>
      <c r="AW9" s="1" t="str">
        <f t="shared" si="14"/>
        <v>R1</v>
      </c>
      <c r="AX9" s="1">
        <f t="shared" si="15"/>
        <v>17.901</v>
      </c>
    </row>
    <row r="10" spans="1:50" ht="17.100000000000001" customHeight="1">
      <c r="A10" s="10">
        <v>106</v>
      </c>
      <c r="B10" s="53" t="s">
        <v>411</v>
      </c>
      <c r="C10" s="10" t="s">
        <v>6</v>
      </c>
      <c r="D10" s="69" t="s">
        <v>664</v>
      </c>
      <c r="E10" s="69" t="s">
        <v>664</v>
      </c>
      <c r="F10" s="70" t="s">
        <v>24</v>
      </c>
      <c r="G10" s="26" t="s">
        <v>12</v>
      </c>
      <c r="H10" s="8" t="s">
        <v>19</v>
      </c>
      <c r="I10" s="8" t="s">
        <v>541</v>
      </c>
      <c r="J10" s="8" t="s">
        <v>11</v>
      </c>
      <c r="K10" s="9" t="s">
        <v>263</v>
      </c>
      <c r="L10" s="30" t="s">
        <v>543</v>
      </c>
      <c r="M10" s="31">
        <v>18.4818</v>
      </c>
      <c r="N10" s="563" t="str" cm="1">
        <f t="array" ref="N10">_xlfn.XLOOKUP("?*",U10:Z10&amp;"",$U$3:$Z$3,S10,2,-1)</f>
        <v>R5</v>
      </c>
      <c r="O10" s="565" cm="1">
        <f t="array" ref="O10">_xlfn.XLOOKUP("?*",U10:Z10&amp;"",U10:Z10,T10,2,-1)</f>
        <v>18.3842</v>
      </c>
      <c r="P10" s="92"/>
      <c r="Q10" s="87"/>
      <c r="S10" s="76" t="s">
        <v>1306</v>
      </c>
      <c r="T10" s="34">
        <v>18.385000000000002</v>
      </c>
      <c r="U10" s="39">
        <v>18.3855</v>
      </c>
      <c r="V10" s="40">
        <v>18.381599999999999</v>
      </c>
      <c r="W10" s="40">
        <v>18.380800000000001</v>
      </c>
      <c r="X10" s="40"/>
      <c r="Y10" s="40"/>
      <c r="Z10" s="40">
        <v>18.3842</v>
      </c>
      <c r="AA10" s="41">
        <v>18.3827</v>
      </c>
      <c r="AB10" s="81"/>
      <c r="AC10" s="21"/>
      <c r="AD10" s="442">
        <f t="shared" si="8"/>
        <v>-0.49999999999883471</v>
      </c>
      <c r="AE10" s="443">
        <f t="shared" si="9"/>
        <v>3.9000000000015689</v>
      </c>
      <c r="AF10" s="443">
        <f t="shared" si="16"/>
        <v>0.79999999999813554</v>
      </c>
      <c r="AG10" s="478" t="str">
        <f t="shared" si="10"/>
        <v/>
      </c>
      <c r="AH10" s="443" t="str">
        <f t="shared" si="11"/>
        <v/>
      </c>
      <c r="AI10" s="441">
        <f t="shared" si="17"/>
        <v>-3.3999999999991815</v>
      </c>
      <c r="AJ10" s="655">
        <f t="shared" si="18"/>
        <v>1.5000000000000568</v>
      </c>
      <c r="AM10" s="477" t="str" cm="1">
        <f t="array" ref="AM10">_xlfn.XLOOKUP("?*",U10:AA10&amp;"",$U$3:$AA$3,S10,2,-1)</f>
        <v>R6</v>
      </c>
      <c r="AN10" s="477" cm="1">
        <f t="array" ref="AN10">_xlfn.XLOOKUP("?*",U10:AA10&amp;"",U10:AA10,T10,2,-1)</f>
        <v>18.3827</v>
      </c>
      <c r="AO10" s="477" t="str" cm="1">
        <f t="array" ref="AO10">_xlfn.XLOOKUP("?*",U10:Z10&amp;"",$U$3:$Z$3,S10,2,-1)</f>
        <v>R5</v>
      </c>
      <c r="AP10" s="477" cm="1">
        <f t="array" ref="AP10">_xlfn.XLOOKUP("?*",U10:Z10&amp;"",U10:Z10,T10,2,-1)</f>
        <v>18.3842</v>
      </c>
      <c r="AQ10" s="477" t="str" cm="1">
        <f t="array" ref="AQ10">_xlfn.XLOOKUP("?*",U10:Y10&amp;"",$U$3:$Y$3,S10,2,-1)</f>
        <v>R2</v>
      </c>
      <c r="AR10" s="477" cm="1">
        <f t="array" ref="AR10">_xlfn.XLOOKUP("?*",U10:Y10&amp;"",U10:Y10,T10,2,-1)</f>
        <v>18.380800000000001</v>
      </c>
      <c r="AS10" s="477" t="str" cm="1">
        <f t="array" ref="AS10">_xlfn.XLOOKUP("?*",U10:X10&amp;"",$U$3:$X$3,S10,2,-1)</f>
        <v>R2</v>
      </c>
      <c r="AT10" s="477" cm="1">
        <f t="array" ref="AT10">_xlfn.XLOOKUP("?*",U10:X10&amp;"",U10:X10,T10,2,-1)</f>
        <v>18.380800000000001</v>
      </c>
      <c r="AU10" s="1" t="str">
        <f t="shared" si="12"/>
        <v>R2</v>
      </c>
      <c r="AV10" s="1">
        <f t="shared" si="13"/>
        <v>18.380800000000001</v>
      </c>
      <c r="AW10" s="1" t="str">
        <f t="shared" si="14"/>
        <v>R1</v>
      </c>
      <c r="AX10" s="1">
        <f t="shared" si="15"/>
        <v>18.381599999999999</v>
      </c>
    </row>
    <row r="11" spans="1:50" s="2" customFormat="1" ht="17.100000000000001" customHeight="1">
      <c r="A11" s="10">
        <v>107</v>
      </c>
      <c r="B11" s="592">
        <v>7410</v>
      </c>
      <c r="C11" s="10" t="s">
        <v>6</v>
      </c>
      <c r="D11" s="69" t="s">
        <v>557</v>
      </c>
      <c r="E11" s="69" t="s">
        <v>557</v>
      </c>
      <c r="F11" s="70" t="s">
        <v>26</v>
      </c>
      <c r="G11" s="26" t="s">
        <v>12</v>
      </c>
      <c r="H11" s="8" t="s">
        <v>19</v>
      </c>
      <c r="I11" s="8" t="s">
        <v>541</v>
      </c>
      <c r="J11" s="8" t="s">
        <v>11</v>
      </c>
      <c r="K11" s="9" t="s">
        <v>263</v>
      </c>
      <c r="L11" s="30" t="s">
        <v>545</v>
      </c>
      <c r="M11" s="31">
        <v>19.1768</v>
      </c>
      <c r="N11" s="563" t="str" cm="1">
        <f t="array" ref="N11">_xlfn.XLOOKUP("?*",U11:Z11&amp;"",$U$3:$Z$3,S11,2,-1)</f>
        <v>R5</v>
      </c>
      <c r="O11" s="565" cm="1">
        <f t="array" ref="O11">_xlfn.XLOOKUP("?*",U11:Z11&amp;"",U11:Z11,T11,2,-1)</f>
        <v>19.073</v>
      </c>
      <c r="P11" s="92"/>
      <c r="Q11" s="87"/>
      <c r="S11" s="76" t="s">
        <v>1305</v>
      </c>
      <c r="T11" s="34">
        <v>19.075399999999998</v>
      </c>
      <c r="U11" s="39">
        <v>19.075500000000002</v>
      </c>
      <c r="V11" s="40">
        <v>19.074000000000002</v>
      </c>
      <c r="W11" s="40">
        <v>19.0733</v>
      </c>
      <c r="X11" s="40">
        <v>19.073899999999998</v>
      </c>
      <c r="Y11" s="40">
        <v>19.072900000000001</v>
      </c>
      <c r="Z11" s="40">
        <v>19.073</v>
      </c>
      <c r="AA11" s="41">
        <v>19.077000000000002</v>
      </c>
      <c r="AB11" s="81"/>
      <c r="AC11" s="21"/>
      <c r="AD11" s="442">
        <f t="shared" si="8"/>
        <v>-0.10000000000331966</v>
      </c>
      <c r="AE11" s="443">
        <f t="shared" si="9"/>
        <v>1.5000000000000568</v>
      </c>
      <c r="AF11" s="443">
        <f t="shared" si="16"/>
        <v>0.70000000000192131</v>
      </c>
      <c r="AG11" s="478">
        <f t="shared" si="10"/>
        <v>-0.59999999999860165</v>
      </c>
      <c r="AH11" s="443">
        <f>IF(Y11="","",($AR11-$AT11)*(-1000))</f>
        <v>0.99999999999766942</v>
      </c>
      <c r="AI11" s="441">
        <f t="shared" si="17"/>
        <v>-9.9999999999766942E-2</v>
      </c>
      <c r="AJ11" s="655">
        <f t="shared" si="18"/>
        <v>-4.0000000000013358</v>
      </c>
      <c r="AM11" s="477" t="str" cm="1">
        <f t="array" ref="AM11">_xlfn.XLOOKUP("?*",U11:AA11&amp;"",$U$3:$AA$3,S11,2,-1)</f>
        <v>R6</v>
      </c>
      <c r="AN11" s="477" cm="1">
        <f t="array" ref="AN11">_xlfn.XLOOKUP("?*",U11:AA11&amp;"",U11:AA11,T11,2,-1)</f>
        <v>19.077000000000002</v>
      </c>
      <c r="AO11" s="477" t="str" cm="1">
        <f t="array" ref="AO11">_xlfn.XLOOKUP("?*",U11:Z11&amp;"",$U$3:$Z$3,S11,2,-1)</f>
        <v>R5</v>
      </c>
      <c r="AP11" s="477" cm="1">
        <f t="array" ref="AP11">_xlfn.XLOOKUP("?*",U11:Z11&amp;"",U11:Z11,T11,2,-1)</f>
        <v>19.073</v>
      </c>
      <c r="AQ11" s="477" t="str" cm="1">
        <f t="array" ref="AQ11">_xlfn.XLOOKUP("?*",U11:Y11&amp;"",$U$3:$Y$3,S11,2,-1)</f>
        <v>R4</v>
      </c>
      <c r="AR11" s="477" cm="1">
        <f t="array" ref="AR11">_xlfn.XLOOKUP("?*",U11:Y11&amp;"",U11:Y11,T11,2,-1)</f>
        <v>19.072900000000001</v>
      </c>
      <c r="AS11" s="477" t="str" cm="1">
        <f t="array" ref="AS11">_xlfn.XLOOKUP("?*",U11:X11&amp;"",$U$3:$X$3,S11,2,-1)</f>
        <v>R3</v>
      </c>
      <c r="AT11" s="477" cm="1">
        <f t="array" ref="AT11">_xlfn.XLOOKUP("?*",U11:X11&amp;"",U11:X11,T11,2,-1)</f>
        <v>19.073899999999998</v>
      </c>
      <c r="AU11" s="1" t="str">
        <f t="shared" si="12"/>
        <v>R2</v>
      </c>
      <c r="AV11" s="1">
        <f t="shared" si="13"/>
        <v>19.0733</v>
      </c>
      <c r="AW11" s="1" t="str">
        <f t="shared" si="14"/>
        <v>R1</v>
      </c>
      <c r="AX11" s="1">
        <f t="shared" si="15"/>
        <v>19.074000000000002</v>
      </c>
    </row>
    <row r="12" spans="1:50" s="2" customFormat="1" ht="17.100000000000001" customHeight="1">
      <c r="A12" s="10">
        <v>108</v>
      </c>
      <c r="B12" s="53" t="s">
        <v>414</v>
      </c>
      <c r="C12" s="10" t="s">
        <v>6</v>
      </c>
      <c r="D12" s="69" t="s">
        <v>708</v>
      </c>
      <c r="E12" s="69" t="s">
        <v>708</v>
      </c>
      <c r="F12" s="70" t="s">
        <v>1401</v>
      </c>
      <c r="G12" s="26" t="s">
        <v>9</v>
      </c>
      <c r="H12" s="8" t="s">
        <v>10</v>
      </c>
      <c r="I12" s="8" t="s">
        <v>541</v>
      </c>
      <c r="J12" s="8" t="s">
        <v>11</v>
      </c>
      <c r="K12" s="9" t="s">
        <v>263</v>
      </c>
      <c r="L12" s="30" t="s">
        <v>545</v>
      </c>
      <c r="M12" s="31">
        <v>25.279800000000002</v>
      </c>
      <c r="N12" s="563" t="str" cm="1">
        <f t="array" ref="N12">_xlfn.XLOOKUP("?*",U12:Z12&amp;"",$U$3:$Z$3,S12,2,-1)</f>
        <v>R3</v>
      </c>
      <c r="O12" s="565" cm="1">
        <f t="array" ref="O12">_xlfn.XLOOKUP("?*",U12:Z12&amp;"",U12:Z12,T12,2,-1)</f>
        <v>25.169</v>
      </c>
      <c r="P12" s="92"/>
      <c r="Q12" s="87"/>
      <c r="S12" s="76" t="s">
        <v>1305</v>
      </c>
      <c r="T12" s="34">
        <v>25.170500000000001</v>
      </c>
      <c r="U12" s="39">
        <v>25.171800000000001</v>
      </c>
      <c r="V12" s="40"/>
      <c r="W12" s="40">
        <v>25.166599999999999</v>
      </c>
      <c r="X12" s="40">
        <v>25.169</v>
      </c>
      <c r="Y12" s="40"/>
      <c r="Z12" s="40"/>
      <c r="AA12" s="41"/>
      <c r="AB12" s="81"/>
      <c r="AC12" s="21"/>
      <c r="AD12" s="442">
        <f t="shared" si="8"/>
        <v>-1.300000000000523</v>
      </c>
      <c r="AE12" s="443" t="str">
        <f t="shared" si="9"/>
        <v/>
      </c>
      <c r="AF12" s="443">
        <f t="shared" si="16"/>
        <v>5.2000000000020918</v>
      </c>
      <c r="AG12" s="478">
        <f t="shared" si="10"/>
        <v>-2.400000000001512</v>
      </c>
      <c r="AH12" s="443" t="str">
        <f t="shared" si="11"/>
        <v/>
      </c>
      <c r="AI12" s="441" t="str">
        <f t="shared" si="17"/>
        <v/>
      </c>
      <c r="AJ12" s="655" t="str">
        <f t="shared" si="18"/>
        <v/>
      </c>
      <c r="AM12" s="477" t="str" cm="1">
        <f t="array" ref="AM12">_xlfn.XLOOKUP("?*",U12:AA12&amp;"",$U$3:$AA$3,S12,2,-1)</f>
        <v>R3</v>
      </c>
      <c r="AN12" s="477" cm="1">
        <f t="array" ref="AN12">_xlfn.XLOOKUP("?*",U12:AA12&amp;"",U12:AA12,T12,2,-1)</f>
        <v>25.169</v>
      </c>
      <c r="AO12" s="477" t="str" cm="1">
        <f t="array" ref="AO12">_xlfn.XLOOKUP("?*",U12:Z12&amp;"",$U$3:$Z$3,S12,2,-1)</f>
        <v>R3</v>
      </c>
      <c r="AP12" s="477" cm="1">
        <f t="array" ref="AP12">_xlfn.XLOOKUP("?*",U12:Z12&amp;"",U12:Z12,T12,2,-1)</f>
        <v>25.169</v>
      </c>
      <c r="AQ12" s="477" t="str" cm="1">
        <f t="array" ref="AQ12">_xlfn.XLOOKUP("?*",U12:Y12&amp;"",$U$3:$Y$3,S12,2,-1)</f>
        <v>R3</v>
      </c>
      <c r="AR12" s="477" cm="1">
        <f t="array" ref="AR12">_xlfn.XLOOKUP("?*",U12:Y12&amp;"",U12:Y12,T12,2,-1)</f>
        <v>25.169</v>
      </c>
      <c r="AS12" s="477" t="str" cm="1">
        <f t="array" ref="AS12">_xlfn.XLOOKUP("?*",U12:X12&amp;"",$U$3:$X$3,S12,2,-1)</f>
        <v>R3</v>
      </c>
      <c r="AT12" s="477" cm="1">
        <f t="array" ref="AT12">_xlfn.XLOOKUP("?*",U12:X12&amp;"",U12:X12,T12,2,-1)</f>
        <v>25.169</v>
      </c>
      <c r="AU12" s="1" t="str">
        <f t="shared" si="12"/>
        <v>R2</v>
      </c>
      <c r="AV12" s="1">
        <f t="shared" si="13"/>
        <v>25.166599999999999</v>
      </c>
      <c r="AW12" s="1" t="str">
        <f t="shared" si="14"/>
        <v>H30</v>
      </c>
      <c r="AX12" s="1">
        <f t="shared" si="15"/>
        <v>25.171800000000001</v>
      </c>
    </row>
    <row r="13" spans="1:50" s="2" customFormat="1" ht="17.100000000000001" customHeight="1">
      <c r="A13" s="10">
        <v>109</v>
      </c>
      <c r="B13" s="53" t="s">
        <v>586</v>
      </c>
      <c r="C13" s="10" t="s">
        <v>6</v>
      </c>
      <c r="D13" s="69" t="s">
        <v>29</v>
      </c>
      <c r="E13" s="69" t="s">
        <v>29</v>
      </c>
      <c r="F13" s="70" t="s">
        <v>1402</v>
      </c>
      <c r="G13" s="26" t="s">
        <v>9</v>
      </c>
      <c r="H13" s="8" t="s">
        <v>31</v>
      </c>
      <c r="I13" s="8" t="s">
        <v>541</v>
      </c>
      <c r="J13" s="8" t="s">
        <v>11</v>
      </c>
      <c r="K13" s="9" t="s">
        <v>263</v>
      </c>
      <c r="L13" s="30" t="s">
        <v>545</v>
      </c>
      <c r="M13" s="31">
        <v>32.000999999999998</v>
      </c>
      <c r="N13" s="563" t="str" cm="1">
        <f t="array" ref="N13">_xlfn.XLOOKUP("?*",U13:Z13&amp;"",$U$3:$Z$3,S13,2,-1)</f>
        <v>R4</v>
      </c>
      <c r="O13" s="565" cm="1">
        <f t="array" ref="O13">_xlfn.XLOOKUP("?*",U13:Z13&amp;"",U13:Z13,T13,2,-1)</f>
        <v>31.895900000000001</v>
      </c>
      <c r="P13" s="92"/>
      <c r="Q13" s="87"/>
      <c r="S13" s="76" t="s">
        <v>1305</v>
      </c>
      <c r="T13" s="34">
        <v>31.900099999999998</v>
      </c>
      <c r="U13" s="39"/>
      <c r="V13" s="40"/>
      <c r="W13" s="40"/>
      <c r="X13" s="40">
        <v>31.8979</v>
      </c>
      <c r="Y13" s="40">
        <v>31.895900000000001</v>
      </c>
      <c r="Z13" s="40"/>
      <c r="AA13" s="41"/>
      <c r="AB13" s="81"/>
      <c r="AC13" s="21"/>
      <c r="AD13" s="442" t="str">
        <f t="shared" si="8"/>
        <v/>
      </c>
      <c r="AE13" s="443" t="str">
        <f t="shared" si="9"/>
        <v/>
      </c>
      <c r="AF13" s="443" t="str">
        <f t="shared" si="16"/>
        <v/>
      </c>
      <c r="AG13" s="478">
        <f>IF(X13="","",($AT13-$AV13)*(-1000))</f>
        <v>2.1999999999984254</v>
      </c>
      <c r="AH13" s="443">
        <f>IF(Y13="","",($AR13-$AT13)*(-1000))</f>
        <v>1.9999999999988916</v>
      </c>
      <c r="AI13" s="441" t="str">
        <f t="shared" si="17"/>
        <v/>
      </c>
      <c r="AJ13" s="655" t="str">
        <f t="shared" si="18"/>
        <v/>
      </c>
      <c r="AM13" s="477" t="str" cm="1">
        <f t="array" ref="AM13">_xlfn.XLOOKUP("?*",U13:AA13&amp;"",$U$3:$AA$3,S13,2,-1)</f>
        <v>R4</v>
      </c>
      <c r="AN13" s="477" cm="1">
        <f t="array" ref="AN13">_xlfn.XLOOKUP("?*",U13:AA13&amp;"",U13:AA13,T13,2,-1)</f>
        <v>31.895900000000001</v>
      </c>
      <c r="AO13" s="477" t="str" cm="1">
        <f t="array" ref="AO13">_xlfn.XLOOKUP("?*",U13:Z13&amp;"",$U$3:$Z$3,S13,2,-1)</f>
        <v>R4</v>
      </c>
      <c r="AP13" s="477" cm="1">
        <f t="array" ref="AP13">_xlfn.XLOOKUP("?*",U13:Z13&amp;"",U13:Z13,T13,2,-1)</f>
        <v>31.895900000000001</v>
      </c>
      <c r="AQ13" s="477" t="str" cm="1">
        <f t="array" ref="AQ13">_xlfn.XLOOKUP("?*",U13:Y13&amp;"",$U$3:$Y$3,S13,2,-1)</f>
        <v>R4</v>
      </c>
      <c r="AR13" s="477" cm="1">
        <f t="array" ref="AR13">_xlfn.XLOOKUP("?*",U13:Y13&amp;"",U13:Y13,T13,2,-1)</f>
        <v>31.895900000000001</v>
      </c>
      <c r="AS13" s="477" t="str" cm="1">
        <f t="array" ref="AS13">_xlfn.XLOOKUP("?*",U13:X13&amp;"",$U$3:$X$3,S13,2,-1)</f>
        <v>R3</v>
      </c>
      <c r="AT13" s="477" cm="1">
        <f t="array" ref="AT13">_xlfn.XLOOKUP("?*",U13:X13&amp;"",U13:X13,T13,2,-1)</f>
        <v>31.8979</v>
      </c>
      <c r="AU13" s="1" t="str">
        <f t="shared" si="12"/>
        <v>H28</v>
      </c>
      <c r="AV13" s="1">
        <f t="shared" si="13"/>
        <v>31.900099999999998</v>
      </c>
      <c r="AW13" s="1" t="str">
        <f t="shared" si="14"/>
        <v>H28</v>
      </c>
      <c r="AX13" s="1">
        <f t="shared" si="15"/>
        <v>31.900099999999998</v>
      </c>
    </row>
    <row r="14" spans="1:50" s="2" customFormat="1" ht="17.100000000000001" customHeight="1">
      <c r="A14" s="10">
        <v>110</v>
      </c>
      <c r="B14" s="592">
        <v>7409</v>
      </c>
      <c r="C14" s="10" t="s">
        <v>6</v>
      </c>
      <c r="D14" s="69" t="s">
        <v>1481</v>
      </c>
      <c r="E14" s="69" t="s">
        <v>1450</v>
      </c>
      <c r="F14" s="70" t="s">
        <v>1403</v>
      </c>
      <c r="G14" s="26" t="s">
        <v>12</v>
      </c>
      <c r="H14" s="8" t="s">
        <v>19</v>
      </c>
      <c r="I14" s="8" t="s">
        <v>541</v>
      </c>
      <c r="J14" s="8" t="s">
        <v>11</v>
      </c>
      <c r="K14" s="9" t="s">
        <v>263</v>
      </c>
      <c r="L14" s="30" t="s">
        <v>545</v>
      </c>
      <c r="M14" s="31">
        <v>16.359100000000002</v>
      </c>
      <c r="N14" s="563" t="str" cm="1">
        <f t="array" ref="N14">_xlfn.XLOOKUP("?*",U14:Z14&amp;"",$U$3:$Z$3,S14,2,-1)</f>
        <v>R5</v>
      </c>
      <c r="O14" s="565" cm="1">
        <f t="array" ref="O14">_xlfn.XLOOKUP("?*",U14:Z14&amp;"",U14:Z14,T14,2,-1)</f>
        <v>16.5046</v>
      </c>
      <c r="P14" s="92"/>
      <c r="Q14" s="87"/>
      <c r="S14" s="76" t="s">
        <v>1306</v>
      </c>
      <c r="T14" s="34">
        <v>16.512</v>
      </c>
      <c r="U14" s="39">
        <v>16.510899999999999</v>
      </c>
      <c r="V14" s="40">
        <v>16.5077</v>
      </c>
      <c r="W14" s="40">
        <v>16.507100000000001</v>
      </c>
      <c r="X14" s="40">
        <v>16.506499999999999</v>
      </c>
      <c r="Y14" s="40">
        <v>16.504799999999999</v>
      </c>
      <c r="Z14" s="40">
        <v>16.5046</v>
      </c>
      <c r="AA14" s="41">
        <v>16.503900000000002</v>
      </c>
      <c r="AB14" s="81"/>
      <c r="AC14" s="21"/>
      <c r="AD14" s="442">
        <f t="shared" si="8"/>
        <v>1.1000000000009891</v>
      </c>
      <c r="AE14" s="443">
        <f t="shared" si="9"/>
        <v>3.1999999999996476</v>
      </c>
      <c r="AF14" s="443">
        <f t="shared" si="16"/>
        <v>0.59999999999860165</v>
      </c>
      <c r="AG14" s="478">
        <f t="shared" si="10"/>
        <v>0.60000000000215437</v>
      </c>
      <c r="AH14" s="443">
        <f t="shared" si="11"/>
        <v>1.6999999999995907</v>
      </c>
      <c r="AI14" s="441">
        <f t="shared" si="17"/>
        <v>0.19999999999953388</v>
      </c>
      <c r="AJ14" s="655">
        <f t="shared" si="18"/>
        <v>0.69999999999836859</v>
      </c>
      <c r="AM14" s="477" t="str" cm="1">
        <f t="array" ref="AM14">_xlfn.XLOOKUP("?*",U14:AA14&amp;"",$U$3:$AA$3,S14,2,-1)</f>
        <v>R6</v>
      </c>
      <c r="AN14" s="477" cm="1">
        <f t="array" ref="AN14">_xlfn.XLOOKUP("?*",U14:AA14&amp;"",U14:AA14,T14,2,-1)</f>
        <v>16.503900000000002</v>
      </c>
      <c r="AO14" s="477" t="str" cm="1">
        <f t="array" ref="AO14">_xlfn.XLOOKUP("?*",U14:Z14&amp;"",$U$3:$Z$3,S14,2,-1)</f>
        <v>R5</v>
      </c>
      <c r="AP14" s="477" cm="1">
        <f t="array" ref="AP14">_xlfn.XLOOKUP("?*",U14:Z14&amp;"",U14:Z14,T14,2,-1)</f>
        <v>16.5046</v>
      </c>
      <c r="AQ14" s="477" t="str" cm="1">
        <f t="array" ref="AQ14">_xlfn.XLOOKUP("?*",U14:Y14&amp;"",$U$3:$Y$3,S14,2,-1)</f>
        <v>R4</v>
      </c>
      <c r="AR14" s="477" cm="1">
        <f t="array" ref="AR14">_xlfn.XLOOKUP("?*",U14:Y14&amp;"",U14:Y14,T14,2,-1)</f>
        <v>16.504799999999999</v>
      </c>
      <c r="AS14" s="477" t="str" cm="1">
        <f t="array" ref="AS14">_xlfn.XLOOKUP("?*",U14:X14&amp;"",$U$3:$X$3,S14,2,-1)</f>
        <v>R3</v>
      </c>
      <c r="AT14" s="477" cm="1">
        <f t="array" ref="AT14">_xlfn.XLOOKUP("?*",U14:X14&amp;"",U14:X14,T14,2,-1)</f>
        <v>16.506499999999999</v>
      </c>
      <c r="AU14" s="1" t="str">
        <f t="shared" si="12"/>
        <v>R2</v>
      </c>
      <c r="AV14" s="1">
        <f t="shared" si="13"/>
        <v>16.507100000000001</v>
      </c>
      <c r="AW14" s="1" t="str">
        <f t="shared" si="14"/>
        <v>R1</v>
      </c>
      <c r="AX14" s="1">
        <f t="shared" si="15"/>
        <v>16.5077</v>
      </c>
    </row>
    <row r="15" spans="1:50" s="2" customFormat="1" ht="17.100000000000001" customHeight="1">
      <c r="A15" s="10">
        <v>111</v>
      </c>
      <c r="B15" s="53" t="s">
        <v>417</v>
      </c>
      <c r="C15" s="10" t="s">
        <v>6</v>
      </c>
      <c r="D15" s="69" t="s">
        <v>1482</v>
      </c>
      <c r="E15" s="69" t="s">
        <v>1451</v>
      </c>
      <c r="F15" s="70" t="s">
        <v>35</v>
      </c>
      <c r="G15" s="26" t="s">
        <v>9</v>
      </c>
      <c r="H15" s="8" t="s">
        <v>36</v>
      </c>
      <c r="I15" s="8" t="s">
        <v>541</v>
      </c>
      <c r="J15" s="8" t="s">
        <v>11</v>
      </c>
      <c r="K15" s="9" t="s">
        <v>263</v>
      </c>
      <c r="L15" s="30" t="s">
        <v>545</v>
      </c>
      <c r="M15" s="31">
        <v>20.770499999999998</v>
      </c>
      <c r="N15" s="563" t="str" cm="1">
        <f t="array" ref="N15">_xlfn.XLOOKUP("?*",U15:Z15&amp;"",$U$3:$Z$3,S15,2,-1)</f>
        <v>R5</v>
      </c>
      <c r="O15" s="565" cm="1">
        <f t="array" ref="O15">_xlfn.XLOOKUP("?*",U15:Z15&amp;"",U15:Z15,T15,2,-1)</f>
        <v>20.635000000000002</v>
      </c>
      <c r="P15" s="92"/>
      <c r="Q15" s="87"/>
      <c r="S15" s="76" t="s">
        <v>1302</v>
      </c>
      <c r="T15" s="34">
        <v>20.643999999999998</v>
      </c>
      <c r="U15" s="39">
        <v>20.6417</v>
      </c>
      <c r="V15" s="40">
        <v>20.636399999999998</v>
      </c>
      <c r="W15" s="40">
        <v>20.6355</v>
      </c>
      <c r="X15" s="40"/>
      <c r="Y15" s="40"/>
      <c r="Z15" s="40">
        <v>20.635000000000002</v>
      </c>
      <c r="AA15" s="41"/>
      <c r="AB15" s="81"/>
      <c r="AC15" s="21"/>
      <c r="AD15" s="442">
        <f t="shared" si="8"/>
        <v>2.2999999999981924</v>
      </c>
      <c r="AE15" s="443">
        <f t="shared" si="9"/>
        <v>5.3000000000018588</v>
      </c>
      <c r="AF15" s="443">
        <f t="shared" si="16"/>
        <v>0.89999999999790248</v>
      </c>
      <c r="AG15" s="478" t="str">
        <f t="shared" si="10"/>
        <v/>
      </c>
      <c r="AH15" s="443" t="str">
        <f t="shared" si="11"/>
        <v/>
      </c>
      <c r="AI15" s="441">
        <f t="shared" si="17"/>
        <v>0.49999999999883471</v>
      </c>
      <c r="AJ15" s="655" t="str">
        <f t="shared" si="18"/>
        <v/>
      </c>
      <c r="AM15" s="477" t="str" cm="1">
        <f t="array" ref="AM15">_xlfn.XLOOKUP("?*",U15:AA15&amp;"",$U$3:$AA$3,S15,2,-1)</f>
        <v>R5</v>
      </c>
      <c r="AN15" s="477" cm="1">
        <f t="array" ref="AN15">_xlfn.XLOOKUP("?*",U15:AA15&amp;"",U15:AA15,T15,2,-1)</f>
        <v>20.635000000000002</v>
      </c>
      <c r="AO15" s="477" t="str" cm="1">
        <f t="array" ref="AO15">_xlfn.XLOOKUP("?*",U15:Z15&amp;"",$U$3:$Z$3,S15,2,-1)</f>
        <v>R5</v>
      </c>
      <c r="AP15" s="477" cm="1">
        <f t="array" ref="AP15">_xlfn.XLOOKUP("?*",U15:Z15&amp;"",U15:Z15,T15,2,-1)</f>
        <v>20.635000000000002</v>
      </c>
      <c r="AQ15" s="477" t="str" cm="1">
        <f t="array" ref="AQ15">_xlfn.XLOOKUP("?*",U15:Y15&amp;"",$U$3:$Y$3,S15,2,-1)</f>
        <v>R2</v>
      </c>
      <c r="AR15" s="477" cm="1">
        <f t="array" ref="AR15">_xlfn.XLOOKUP("?*",U15:Y15&amp;"",U15:Y15,T15,2,-1)</f>
        <v>20.6355</v>
      </c>
      <c r="AS15" s="477" t="str" cm="1">
        <f t="array" ref="AS15">_xlfn.XLOOKUP("?*",U15:X15&amp;"",$U$3:$X$3,S15,2,-1)</f>
        <v>R2</v>
      </c>
      <c r="AT15" s="477" cm="1">
        <f t="array" ref="AT15">_xlfn.XLOOKUP("?*",U15:X15&amp;"",U15:X15,T15,2,-1)</f>
        <v>20.6355</v>
      </c>
      <c r="AU15" s="1" t="str">
        <f t="shared" si="12"/>
        <v>R2</v>
      </c>
      <c r="AV15" s="1">
        <f t="shared" si="13"/>
        <v>20.6355</v>
      </c>
      <c r="AW15" s="1" t="str">
        <f t="shared" si="14"/>
        <v>R1</v>
      </c>
      <c r="AX15" s="1">
        <f t="shared" si="15"/>
        <v>20.636399999999998</v>
      </c>
    </row>
    <row r="16" spans="1:50" s="2" customFormat="1" ht="17.100000000000001" customHeight="1">
      <c r="A16" s="502">
        <v>201</v>
      </c>
      <c r="B16" s="503" t="s">
        <v>418</v>
      </c>
      <c r="C16" s="502" t="s">
        <v>38</v>
      </c>
      <c r="D16" s="504" t="s">
        <v>713</v>
      </c>
      <c r="E16" s="504" t="s">
        <v>713</v>
      </c>
      <c r="F16" s="484" t="s">
        <v>40</v>
      </c>
      <c r="G16" s="485" t="s">
        <v>9</v>
      </c>
      <c r="H16" s="486" t="s">
        <v>19</v>
      </c>
      <c r="I16" s="486" t="s">
        <v>541</v>
      </c>
      <c r="J16" s="486" t="s">
        <v>11</v>
      </c>
      <c r="K16" s="487" t="s">
        <v>263</v>
      </c>
      <c r="L16" s="30" t="s">
        <v>543</v>
      </c>
      <c r="M16" s="31">
        <v>15.523199999999999</v>
      </c>
      <c r="N16" s="563" t="str" cm="1">
        <f t="array" ref="N16">_xlfn.XLOOKUP("?*",U16:Z16&amp;"",$U$3:$Z$3,S16,2,-1)</f>
        <v>H22</v>
      </c>
      <c r="O16" s="565" cm="1">
        <f t="array" ref="O16">_xlfn.XLOOKUP("?*",U16:Z16&amp;"",U16:Z16,T16,2,-1)</f>
        <v>15.417599999999998</v>
      </c>
      <c r="P16" s="92"/>
      <c r="Q16" s="87"/>
      <c r="S16" s="76" t="s">
        <v>1309</v>
      </c>
      <c r="T16" s="34">
        <v>15.417599999999998</v>
      </c>
      <c r="U16" s="39"/>
      <c r="V16" s="40"/>
      <c r="W16" s="40"/>
      <c r="X16" s="40"/>
      <c r="Y16" s="40"/>
      <c r="Z16" s="40"/>
      <c r="AA16" s="41"/>
      <c r="AB16" s="81"/>
      <c r="AC16" s="21"/>
      <c r="AD16" s="442" t="str">
        <f t="shared" si="8"/>
        <v/>
      </c>
      <c r="AE16" s="443" t="str">
        <f t="shared" si="9"/>
        <v/>
      </c>
      <c r="AF16" s="443" t="str">
        <f t="shared" si="16"/>
        <v/>
      </c>
      <c r="AG16" s="478" t="str">
        <f t="shared" si="10"/>
        <v/>
      </c>
      <c r="AH16" s="443" t="str">
        <f t="shared" si="11"/>
        <v/>
      </c>
      <c r="AI16" s="441" t="str">
        <f t="shared" si="17"/>
        <v/>
      </c>
      <c r="AJ16" s="655" t="str">
        <f t="shared" si="18"/>
        <v/>
      </c>
      <c r="AM16" s="477" t="str" cm="1">
        <f t="array" ref="AM16">_xlfn.XLOOKUP("?*",U16:AA16&amp;"",$U$3:$AA$3,S16,2,-1)</f>
        <v>H22</v>
      </c>
      <c r="AN16" s="477" cm="1">
        <f t="array" ref="AN16">_xlfn.XLOOKUP("?*",U16:AA16&amp;"",U16:AA16,T16,2,-1)</f>
        <v>15.417599999999998</v>
      </c>
      <c r="AO16" s="477" t="str" cm="1">
        <f t="array" ref="AO16">_xlfn.XLOOKUP("?*",U16:Z16&amp;"",$U$3:$Z$3,S16,2,-1)</f>
        <v>H22</v>
      </c>
      <c r="AP16" s="477" cm="1">
        <f t="array" ref="AP16">_xlfn.XLOOKUP("?*",U16:Z16&amp;"",U16:Z16,T16,2,-1)</f>
        <v>15.417599999999998</v>
      </c>
      <c r="AQ16" s="477" t="str" cm="1">
        <f t="array" ref="AQ16">_xlfn.XLOOKUP("?*",U16:Y16&amp;"",$U$3:$Y$3,S16,2,-1)</f>
        <v>H22</v>
      </c>
      <c r="AR16" s="477" cm="1">
        <f t="array" ref="AR16">_xlfn.XLOOKUP("?*",U16:Y16&amp;"",U16:Y16,T16,2,-1)</f>
        <v>15.417599999999998</v>
      </c>
      <c r="AS16" s="477" t="str" cm="1">
        <f t="array" ref="AS16">_xlfn.XLOOKUP("?*",U16:X16&amp;"",$U$3:$X$3,S16,2,-1)</f>
        <v>H22</v>
      </c>
      <c r="AT16" s="477" cm="1">
        <f t="array" ref="AT16">_xlfn.XLOOKUP("?*",U16:X16&amp;"",U16:X16,T16,2,-1)</f>
        <v>15.417599999999998</v>
      </c>
      <c r="AU16" s="1" t="str">
        <f t="shared" si="12"/>
        <v>H22</v>
      </c>
      <c r="AV16" s="1">
        <f t="shared" si="13"/>
        <v>15.417599999999998</v>
      </c>
      <c r="AW16" s="1" t="str">
        <f t="shared" si="14"/>
        <v>H22</v>
      </c>
      <c r="AX16" s="1">
        <f t="shared" si="15"/>
        <v>15.417599999999998</v>
      </c>
    </row>
    <row r="17" spans="1:50" s="2" customFormat="1" ht="17.100000000000001" customHeight="1">
      <c r="A17" s="10">
        <v>202</v>
      </c>
      <c r="B17" s="53" t="s">
        <v>587</v>
      </c>
      <c r="C17" s="10" t="s">
        <v>38</v>
      </c>
      <c r="D17" s="69" t="s">
        <v>714</v>
      </c>
      <c r="E17" s="69" t="s">
        <v>714</v>
      </c>
      <c r="F17" s="70" t="s">
        <v>42</v>
      </c>
      <c r="G17" s="26" t="s">
        <v>9</v>
      </c>
      <c r="H17" s="8" t="s">
        <v>31</v>
      </c>
      <c r="I17" s="8" t="s">
        <v>541</v>
      </c>
      <c r="J17" s="8" t="s">
        <v>540</v>
      </c>
      <c r="K17" s="9" t="s">
        <v>264</v>
      </c>
      <c r="L17" s="30" t="s">
        <v>543</v>
      </c>
      <c r="M17" s="31">
        <v>11.6309</v>
      </c>
      <c r="N17" s="563" t="str" cm="1">
        <f t="array" ref="N17">_xlfn.XLOOKUP("?*",U17:Z17&amp;"",$U$3:$Z$3,S17,2,-1)</f>
        <v>R3</v>
      </c>
      <c r="O17" s="565" cm="1">
        <f t="array" ref="O17">_xlfn.XLOOKUP("?*",U17:Z17&amp;"",U17:Z17,T17,2,-1)</f>
        <v>11.479699999999999</v>
      </c>
      <c r="P17" s="92"/>
      <c r="Q17" s="88"/>
      <c r="R17" s="1"/>
      <c r="S17" s="76" t="s">
        <v>1299</v>
      </c>
      <c r="T17" s="35">
        <v>11.489599999999999</v>
      </c>
      <c r="U17" s="42"/>
      <c r="V17" s="43"/>
      <c r="W17" s="43">
        <v>11.478</v>
      </c>
      <c r="X17" s="43">
        <v>11.479699999999999</v>
      </c>
      <c r="Y17" s="43"/>
      <c r="Z17" s="43"/>
      <c r="AA17" s="44">
        <v>11.477600000000001</v>
      </c>
      <c r="AB17" s="81"/>
      <c r="AC17" s="22"/>
      <c r="AD17" s="444" t="str">
        <f t="shared" si="8"/>
        <v/>
      </c>
      <c r="AE17" s="441" t="str">
        <f t="shared" si="9"/>
        <v/>
      </c>
      <c r="AF17" s="441">
        <f t="shared" si="16"/>
        <v>11.599999999999611</v>
      </c>
      <c r="AG17" s="478">
        <f t="shared" si="10"/>
        <v>-1.6999999999995907</v>
      </c>
      <c r="AH17" s="443" t="str">
        <f t="shared" si="11"/>
        <v/>
      </c>
      <c r="AI17" s="441" t="str">
        <f t="shared" si="17"/>
        <v/>
      </c>
      <c r="AJ17" s="655">
        <f t="shared" si="18"/>
        <v>2.0999999999986585</v>
      </c>
      <c r="AM17" s="477" t="str" cm="1">
        <f t="array" ref="AM17">_xlfn.XLOOKUP("?*",U17:AA17&amp;"",$U$3:$AA$3,S17,2,-1)</f>
        <v>R6</v>
      </c>
      <c r="AN17" s="477" cm="1">
        <f t="array" ref="AN17">_xlfn.XLOOKUP("?*",U17:AA17&amp;"",U17:AA17,T17,2,-1)</f>
        <v>11.477600000000001</v>
      </c>
      <c r="AO17" s="477" t="str" cm="1">
        <f t="array" ref="AO17">_xlfn.XLOOKUP("?*",U17:Z17&amp;"",$U$3:$Z$3,S17,2,-1)</f>
        <v>R3</v>
      </c>
      <c r="AP17" s="477" cm="1">
        <f t="array" ref="AP17">_xlfn.XLOOKUP("?*",U17:Z17&amp;"",U17:Z17,T17,2,-1)</f>
        <v>11.479699999999999</v>
      </c>
      <c r="AQ17" s="477" t="str" cm="1">
        <f t="array" ref="AQ17">_xlfn.XLOOKUP("?*",U17:Y17&amp;"",$U$3:$Y$3,S17,2,-1)</f>
        <v>R3</v>
      </c>
      <c r="AR17" s="477" cm="1">
        <f t="array" ref="AR17">_xlfn.XLOOKUP("?*",U17:Y17&amp;"",U17:Y17,T17,2,-1)</f>
        <v>11.479699999999999</v>
      </c>
      <c r="AS17" s="477" t="str" cm="1">
        <f t="array" ref="AS17">_xlfn.XLOOKUP("?*",U17:X17&amp;"",$U$3:$X$3,S17,2,-1)</f>
        <v>R3</v>
      </c>
      <c r="AT17" s="477" cm="1">
        <f t="array" ref="AT17">_xlfn.XLOOKUP("?*",U17:X17&amp;"",U17:X17,T17,2,-1)</f>
        <v>11.479699999999999</v>
      </c>
      <c r="AU17" s="1" t="str">
        <f t="shared" si="12"/>
        <v>R2</v>
      </c>
      <c r="AV17" s="1">
        <f t="shared" si="13"/>
        <v>11.478</v>
      </c>
      <c r="AW17" s="1" t="str">
        <f t="shared" si="14"/>
        <v>H29</v>
      </c>
      <c r="AX17" s="1">
        <f t="shared" si="15"/>
        <v>11.489599999999999</v>
      </c>
    </row>
    <row r="18" spans="1:50" ht="16.5" customHeight="1">
      <c r="A18" s="10">
        <v>203</v>
      </c>
      <c r="B18" s="53" t="s">
        <v>384</v>
      </c>
      <c r="C18" s="10" t="s">
        <v>38</v>
      </c>
      <c r="D18" s="69" t="s">
        <v>565</v>
      </c>
      <c r="E18" s="69" t="s">
        <v>565</v>
      </c>
      <c r="F18" s="70" t="s">
        <v>44</v>
      </c>
      <c r="G18" s="26" t="s">
        <v>9</v>
      </c>
      <c r="H18" s="8" t="s">
        <v>19</v>
      </c>
      <c r="I18" s="8" t="s">
        <v>541</v>
      </c>
      <c r="J18" s="8" t="s">
        <v>539</v>
      </c>
      <c r="K18" s="9" t="s">
        <v>264</v>
      </c>
      <c r="L18" s="30" t="s">
        <v>543</v>
      </c>
      <c r="M18" s="31">
        <v>11.6412</v>
      </c>
      <c r="N18" s="563" t="str" cm="1">
        <f t="array" ref="N18">_xlfn.XLOOKUP("?*",U18:Z18&amp;"",$U$3:$Z$3,S18,2,-1)</f>
        <v>R2</v>
      </c>
      <c r="O18" s="565" cm="1">
        <f t="array" ref="O18">_xlfn.XLOOKUP("?*",U18:Z18&amp;"",U18:Z18,T18,2,-1)</f>
        <v>11.536899999999999</v>
      </c>
      <c r="P18" s="92"/>
      <c r="Q18" s="88"/>
      <c r="R18" s="1"/>
      <c r="S18" s="76" t="s">
        <v>1299</v>
      </c>
      <c r="T18" s="35">
        <v>11.5397</v>
      </c>
      <c r="U18" s="42">
        <v>11.539</v>
      </c>
      <c r="V18" s="43"/>
      <c r="W18" s="43">
        <v>11.536899999999999</v>
      </c>
      <c r="X18" s="43"/>
      <c r="Y18" s="43"/>
      <c r="Z18" s="43"/>
      <c r="AA18" s="44"/>
      <c r="AB18" s="81"/>
      <c r="AC18" s="22"/>
      <c r="AD18" s="444">
        <f t="shared" si="8"/>
        <v>0.70000000000014495</v>
      </c>
      <c r="AE18" s="441" t="str">
        <f t="shared" si="9"/>
        <v/>
      </c>
      <c r="AF18" s="441">
        <f t="shared" si="16"/>
        <v>2.1000000000004349</v>
      </c>
      <c r="AG18" s="478" t="str">
        <f t="shared" si="10"/>
        <v/>
      </c>
      <c r="AH18" s="443" t="str">
        <f t="shared" si="11"/>
        <v/>
      </c>
      <c r="AI18" s="441" t="str">
        <f t="shared" si="17"/>
        <v/>
      </c>
      <c r="AJ18" s="655" t="str">
        <f t="shared" si="18"/>
        <v/>
      </c>
      <c r="AM18" s="477" t="str" cm="1">
        <f t="array" ref="AM18">_xlfn.XLOOKUP("?*",U18:AA18&amp;"",$U$3:$AA$3,S18,2,-1)</f>
        <v>R2</v>
      </c>
      <c r="AN18" s="477" cm="1">
        <f t="array" ref="AN18">_xlfn.XLOOKUP("?*",U18:AA18&amp;"",U18:AA18,T18,2,-1)</f>
        <v>11.536899999999999</v>
      </c>
      <c r="AO18" s="477" t="str" cm="1">
        <f t="array" ref="AO18">_xlfn.XLOOKUP("?*",U18:Z18&amp;"",$U$3:$Z$3,S18,2,-1)</f>
        <v>R2</v>
      </c>
      <c r="AP18" s="477" cm="1">
        <f t="array" ref="AP18">_xlfn.XLOOKUP("?*",U18:Z18&amp;"",U18:Z18,T18,2,-1)</f>
        <v>11.536899999999999</v>
      </c>
      <c r="AQ18" s="477" t="str" cm="1">
        <f t="array" ref="AQ18">_xlfn.XLOOKUP("?*",U18:Y18&amp;"",$U$3:$Y$3,S18,2,-1)</f>
        <v>R2</v>
      </c>
      <c r="AR18" s="477" cm="1">
        <f t="array" ref="AR18">_xlfn.XLOOKUP("?*",U18:Y18&amp;"",U18:Y18,T18,2,-1)</f>
        <v>11.536899999999999</v>
      </c>
      <c r="AS18" s="477" t="str" cm="1">
        <f t="array" ref="AS18">_xlfn.XLOOKUP("?*",U18:X18&amp;"",$U$3:$X$3,S18,2,-1)</f>
        <v>R2</v>
      </c>
      <c r="AT18" s="477" cm="1">
        <f t="array" ref="AT18">_xlfn.XLOOKUP("?*",U18:X18&amp;"",U18:X18,T18,2,-1)</f>
        <v>11.536899999999999</v>
      </c>
      <c r="AU18" s="1" t="str">
        <f t="shared" si="12"/>
        <v>R2</v>
      </c>
      <c r="AV18" s="1">
        <f t="shared" si="13"/>
        <v>11.536899999999999</v>
      </c>
      <c r="AW18" s="1" t="str">
        <f t="shared" si="14"/>
        <v>H30</v>
      </c>
      <c r="AX18" s="1">
        <f t="shared" si="15"/>
        <v>11.539</v>
      </c>
    </row>
    <row r="19" spans="1:50" ht="17.100000000000001" customHeight="1">
      <c r="A19" s="10">
        <v>204</v>
      </c>
      <c r="B19" s="53" t="s">
        <v>419</v>
      </c>
      <c r="C19" s="10" t="s">
        <v>38</v>
      </c>
      <c r="D19" s="69" t="s">
        <v>696</v>
      </c>
      <c r="E19" s="69" t="s">
        <v>696</v>
      </c>
      <c r="F19" s="70" t="s">
        <v>46</v>
      </c>
      <c r="G19" s="26" t="s">
        <v>9</v>
      </c>
      <c r="H19" s="8" t="s">
        <v>19</v>
      </c>
      <c r="I19" s="8" t="s">
        <v>541</v>
      </c>
      <c r="J19" s="8" t="s">
        <v>539</v>
      </c>
      <c r="K19" s="9" t="s">
        <v>264</v>
      </c>
      <c r="L19" s="30" t="s">
        <v>543</v>
      </c>
      <c r="M19" s="31">
        <v>8.8169000000000004</v>
      </c>
      <c r="N19" s="563" t="str" cm="1">
        <f t="array" ref="N19">_xlfn.XLOOKUP("?*",U19:Z19&amp;"",$U$3:$Z$3,S19,2,-1)</f>
        <v>R3</v>
      </c>
      <c r="O19" s="565" cm="1">
        <f t="array" ref="O19">_xlfn.XLOOKUP("?*",U19:Z19&amp;"",U19:Z19,T19,2,-1)</f>
        <v>8.7067999999999994</v>
      </c>
      <c r="P19" s="92"/>
      <c r="Q19" s="88"/>
      <c r="R19" s="1"/>
      <c r="S19" s="76" t="s">
        <v>1296</v>
      </c>
      <c r="T19" s="35">
        <v>8.7113999999999994</v>
      </c>
      <c r="U19" s="42">
        <v>8.7103000000000002</v>
      </c>
      <c r="V19" s="43">
        <v>8.7079000000000004</v>
      </c>
      <c r="W19" s="470">
        <v>8.7067999999999994</v>
      </c>
      <c r="X19" s="43">
        <v>8.7067999999999994</v>
      </c>
      <c r="Y19" s="43"/>
      <c r="Z19" s="43"/>
      <c r="AA19" s="44">
        <v>8.7062000000000008</v>
      </c>
      <c r="AB19" s="81"/>
      <c r="AC19" s="22"/>
      <c r="AD19" s="444">
        <f t="shared" si="8"/>
        <v>1.0999999999992127</v>
      </c>
      <c r="AE19" s="441">
        <f t="shared" si="9"/>
        <v>2.3999999999997357</v>
      </c>
      <c r="AF19" s="441">
        <f t="shared" si="16"/>
        <v>1.1000000000009891</v>
      </c>
      <c r="AG19" s="478">
        <f t="shared" si="10"/>
        <v>0</v>
      </c>
      <c r="AH19" s="443" t="str">
        <f t="shared" si="11"/>
        <v/>
      </c>
      <c r="AI19" s="441" t="str">
        <f t="shared" si="17"/>
        <v/>
      </c>
      <c r="AJ19" s="655">
        <f t="shared" si="18"/>
        <v>0.59999999999860165</v>
      </c>
      <c r="AM19" s="477" t="str" cm="1">
        <f t="array" ref="AM19">_xlfn.XLOOKUP("?*",U19:AA19&amp;"",$U$3:$AA$3,S19,2,-1)</f>
        <v>R6</v>
      </c>
      <c r="AN19" s="477" cm="1">
        <f t="array" ref="AN19">_xlfn.XLOOKUP("?*",U19:AA19&amp;"",U19:AA19,T19,2,-1)</f>
        <v>8.7062000000000008</v>
      </c>
      <c r="AO19" s="477" t="str" cm="1">
        <f t="array" ref="AO19">_xlfn.XLOOKUP("?*",U19:Z19&amp;"",$U$3:$Z$3,S19,2,-1)</f>
        <v>R3</v>
      </c>
      <c r="AP19" s="477" cm="1">
        <f t="array" ref="AP19">_xlfn.XLOOKUP("?*",U19:Z19&amp;"",U19:Z19,T19,2,-1)</f>
        <v>8.7067999999999994</v>
      </c>
      <c r="AQ19" s="477" t="str" cm="1">
        <f t="array" ref="AQ19">_xlfn.XLOOKUP("?*",U19:Y19&amp;"",$U$3:$Y$3,S19,2,-1)</f>
        <v>R3</v>
      </c>
      <c r="AR19" s="477" cm="1">
        <f t="array" ref="AR19">_xlfn.XLOOKUP("?*",U19:Y19&amp;"",U19:Y19,T19,2,-1)</f>
        <v>8.7067999999999994</v>
      </c>
      <c r="AS19" s="477" t="str" cm="1">
        <f t="array" ref="AS19">_xlfn.XLOOKUP("?*",U19:X19&amp;"",$U$3:$X$3,S19,2,-1)</f>
        <v>R3</v>
      </c>
      <c r="AT19" s="477" cm="1">
        <f t="array" ref="AT19">_xlfn.XLOOKUP("?*",U19:X19&amp;"",U19:X19,T19,2,-1)</f>
        <v>8.7067999999999994</v>
      </c>
      <c r="AU19" s="1" t="str">
        <f t="shared" si="12"/>
        <v>R2</v>
      </c>
      <c r="AV19" s="1">
        <f t="shared" si="13"/>
        <v>8.7067999999999994</v>
      </c>
      <c r="AW19" s="1" t="str">
        <f t="shared" si="14"/>
        <v>R1</v>
      </c>
      <c r="AX19" s="1">
        <f t="shared" si="15"/>
        <v>8.7079000000000004</v>
      </c>
    </row>
    <row r="20" spans="1:50" ht="16.5" customHeight="1">
      <c r="A20" s="502">
        <v>205</v>
      </c>
      <c r="B20" s="503" t="s">
        <v>421</v>
      </c>
      <c r="C20" s="502" t="s">
        <v>38</v>
      </c>
      <c r="D20" s="504" t="s">
        <v>48</v>
      </c>
      <c r="E20" s="504" t="s">
        <v>48</v>
      </c>
      <c r="F20" s="484" t="s">
        <v>49</v>
      </c>
      <c r="G20" s="485" t="s">
        <v>9</v>
      </c>
      <c r="H20" s="486" t="s">
        <v>19</v>
      </c>
      <c r="I20" s="486" t="s">
        <v>541</v>
      </c>
      <c r="J20" s="486" t="s">
        <v>539</v>
      </c>
      <c r="K20" s="487" t="s">
        <v>265</v>
      </c>
      <c r="L20" s="30" t="s">
        <v>543</v>
      </c>
      <c r="M20" s="31">
        <v>9.7895000000000003</v>
      </c>
      <c r="N20" s="563" t="str" cm="1">
        <f t="array" ref="N20">_xlfn.XLOOKUP("?*",U20:Z20&amp;"",$U$3:$Z$3,S20,2,-1)</f>
        <v>R2</v>
      </c>
      <c r="O20" s="565" cm="1">
        <f t="array" ref="O20">_xlfn.XLOOKUP("?*",U20:Z20&amp;"",U20:Z20,T20,2,-1)</f>
        <v>9.6671999999999993</v>
      </c>
      <c r="P20" s="92"/>
      <c r="Q20" s="88"/>
      <c r="R20" s="1"/>
      <c r="S20" s="76" t="s">
        <v>1310</v>
      </c>
      <c r="T20" s="35">
        <v>9.6707999999999998</v>
      </c>
      <c r="U20" s="42">
        <v>9.6684000000000001</v>
      </c>
      <c r="V20" s="43"/>
      <c r="W20" s="43">
        <v>9.6671999999999993</v>
      </c>
      <c r="X20" s="43"/>
      <c r="Y20" s="43"/>
      <c r="Z20" s="43"/>
      <c r="AA20" s="44"/>
      <c r="AB20" s="81"/>
      <c r="AC20" s="22"/>
      <c r="AD20" s="444">
        <f t="shared" si="8"/>
        <v>2.3999999999997357</v>
      </c>
      <c r="AE20" s="441" t="str">
        <f t="shared" si="9"/>
        <v/>
      </c>
      <c r="AF20" s="441">
        <f t="shared" si="16"/>
        <v>1.200000000000756</v>
      </c>
      <c r="AG20" s="478" t="str">
        <f t="shared" si="10"/>
        <v/>
      </c>
      <c r="AH20" s="443" t="str">
        <f t="shared" si="11"/>
        <v/>
      </c>
      <c r="AI20" s="441" t="str">
        <f t="shared" si="17"/>
        <v/>
      </c>
      <c r="AJ20" s="655" t="str">
        <f t="shared" si="18"/>
        <v/>
      </c>
      <c r="AM20" s="477" t="str" cm="1">
        <f t="array" ref="AM20">_xlfn.XLOOKUP("?*",U20:AA20&amp;"",$U$3:$AA$3,S20,2,-1)</f>
        <v>R2</v>
      </c>
      <c r="AN20" s="477" cm="1">
        <f t="array" ref="AN20">_xlfn.XLOOKUP("?*",U20:AA20&amp;"",U20:AA20,T20,2,-1)</f>
        <v>9.6671999999999993</v>
      </c>
      <c r="AO20" s="477" t="str" cm="1">
        <f t="array" ref="AO20">_xlfn.XLOOKUP("?*",U20:Z20&amp;"",$U$3:$Z$3,S20,2,-1)</f>
        <v>R2</v>
      </c>
      <c r="AP20" s="477" cm="1">
        <f t="array" ref="AP20">_xlfn.XLOOKUP("?*",U20:Z20&amp;"",U20:Z20,T20,2,-1)</f>
        <v>9.6671999999999993</v>
      </c>
      <c r="AQ20" s="477" t="str" cm="1">
        <f t="array" ref="AQ20">_xlfn.XLOOKUP("?*",U20:Y20&amp;"",$U$3:$Y$3,S20,2,-1)</f>
        <v>R2</v>
      </c>
      <c r="AR20" s="477" cm="1">
        <f t="array" ref="AR20">_xlfn.XLOOKUP("?*",U20:Y20&amp;"",U20:Y20,T20,2,-1)</f>
        <v>9.6671999999999993</v>
      </c>
      <c r="AS20" s="477" t="str" cm="1">
        <f t="array" ref="AS20">_xlfn.XLOOKUP("?*",U20:X20&amp;"",$U$3:$X$3,S20,2,-1)</f>
        <v>R2</v>
      </c>
      <c r="AT20" s="477" cm="1">
        <f t="array" ref="AT20">_xlfn.XLOOKUP("?*",U20:X20&amp;"",U20:X20,T20,2,-1)</f>
        <v>9.6671999999999993</v>
      </c>
      <c r="AU20" s="1" t="str">
        <f t="shared" si="12"/>
        <v>R2</v>
      </c>
      <c r="AV20" s="1">
        <f t="shared" si="13"/>
        <v>9.6671999999999993</v>
      </c>
      <c r="AW20" s="1" t="str">
        <f t="shared" si="14"/>
        <v>H30</v>
      </c>
      <c r="AX20" s="1">
        <f t="shared" si="15"/>
        <v>9.6684000000000001</v>
      </c>
    </row>
    <row r="21" spans="1:50" ht="17.100000000000001" customHeight="1">
      <c r="A21" s="10">
        <v>206</v>
      </c>
      <c r="B21" s="53" t="s">
        <v>423</v>
      </c>
      <c r="C21" s="10" t="s">
        <v>38</v>
      </c>
      <c r="D21" s="69" t="s">
        <v>578</v>
      </c>
      <c r="E21" s="69" t="s">
        <v>578</v>
      </c>
      <c r="F21" s="70" t="s">
        <v>51</v>
      </c>
      <c r="G21" s="26" t="s">
        <v>9</v>
      </c>
      <c r="H21" s="8" t="s">
        <v>19</v>
      </c>
      <c r="I21" s="8" t="s">
        <v>541</v>
      </c>
      <c r="J21" s="8" t="s">
        <v>539</v>
      </c>
      <c r="K21" s="9" t="s">
        <v>265</v>
      </c>
      <c r="L21" s="30" t="s">
        <v>543</v>
      </c>
      <c r="M21" s="31">
        <v>8.851799999999999</v>
      </c>
      <c r="N21" s="563" t="str" cm="1">
        <f t="array" ref="N21">_xlfn.XLOOKUP("?*",U21:Z21&amp;"",$U$3:$Z$3,S21,2,-1)</f>
        <v>R3</v>
      </c>
      <c r="O21" s="565" cm="1">
        <f t="array" ref="O21">_xlfn.XLOOKUP("?*",U21:Z21&amp;"",U21:Z21,T21,2,-1)</f>
        <v>8.7611000000000008</v>
      </c>
      <c r="P21" s="92"/>
      <c r="Q21" s="88"/>
      <c r="R21" s="1"/>
      <c r="S21" s="76" t="s">
        <v>1305</v>
      </c>
      <c r="T21" s="35">
        <v>8.7611000000000008</v>
      </c>
      <c r="U21" s="42">
        <v>8.7596000000000007</v>
      </c>
      <c r="V21" s="43"/>
      <c r="W21" s="43">
        <v>8.7622</v>
      </c>
      <c r="X21" s="43">
        <v>8.7611000000000008</v>
      </c>
      <c r="Y21" s="43"/>
      <c r="Z21" s="43"/>
      <c r="AA21" s="44">
        <v>8.7603000000000009</v>
      </c>
      <c r="AB21" s="81"/>
      <c r="AC21" s="22"/>
      <c r="AD21" s="444">
        <f t="shared" si="8"/>
        <v>1.5000000000000568</v>
      </c>
      <c r="AE21" s="441" t="str">
        <f t="shared" si="9"/>
        <v/>
      </c>
      <c r="AF21" s="441">
        <f t="shared" si="16"/>
        <v>-2.5999999999992696</v>
      </c>
      <c r="AG21" s="478">
        <f t="shared" si="10"/>
        <v>1.0999999999992127</v>
      </c>
      <c r="AH21" s="443" t="str">
        <f t="shared" si="11"/>
        <v/>
      </c>
      <c r="AI21" s="441" t="str">
        <f t="shared" si="17"/>
        <v/>
      </c>
      <c r="AJ21" s="655">
        <f t="shared" si="18"/>
        <v>0.79999999999991189</v>
      </c>
      <c r="AM21" s="477" t="str" cm="1">
        <f t="array" ref="AM21">_xlfn.XLOOKUP("?*",U21:AA21&amp;"",$U$3:$AA$3,S21,2,-1)</f>
        <v>R6</v>
      </c>
      <c r="AN21" s="477" cm="1">
        <f t="array" ref="AN21">_xlfn.XLOOKUP("?*",U21:AA21&amp;"",U21:AA21,T21,2,-1)</f>
        <v>8.7603000000000009</v>
      </c>
      <c r="AO21" s="477" t="str" cm="1">
        <f t="array" ref="AO21">_xlfn.XLOOKUP("?*",U21:Z21&amp;"",$U$3:$Z$3,S21,2,-1)</f>
        <v>R3</v>
      </c>
      <c r="AP21" s="477" cm="1">
        <f t="array" ref="AP21">_xlfn.XLOOKUP("?*",U21:Z21&amp;"",U21:Z21,T21,2,-1)</f>
        <v>8.7611000000000008</v>
      </c>
      <c r="AQ21" s="477" t="str" cm="1">
        <f t="array" ref="AQ21">_xlfn.XLOOKUP("?*",U21:Y21&amp;"",$U$3:$Y$3,S21,2,-1)</f>
        <v>R3</v>
      </c>
      <c r="AR21" s="477" cm="1">
        <f t="array" ref="AR21">_xlfn.XLOOKUP("?*",U21:Y21&amp;"",U21:Y21,T21,2,-1)</f>
        <v>8.7611000000000008</v>
      </c>
      <c r="AS21" s="477" t="str" cm="1">
        <f t="array" ref="AS21">_xlfn.XLOOKUP("?*",U21:X21&amp;"",$U$3:$X$3,S21,2,-1)</f>
        <v>R3</v>
      </c>
      <c r="AT21" s="477" cm="1">
        <f t="array" ref="AT21">_xlfn.XLOOKUP("?*",U21:X21&amp;"",U21:X21,T21,2,-1)</f>
        <v>8.7611000000000008</v>
      </c>
      <c r="AU21" s="1" t="str">
        <f t="shared" si="12"/>
        <v>R2</v>
      </c>
      <c r="AV21" s="1">
        <f t="shared" si="13"/>
        <v>8.7622</v>
      </c>
      <c r="AW21" s="1" t="str">
        <f t="shared" si="14"/>
        <v>H30</v>
      </c>
      <c r="AX21" s="1">
        <f t="shared" si="15"/>
        <v>8.7596000000000007</v>
      </c>
    </row>
    <row r="22" spans="1:50" ht="17.100000000000001" customHeight="1">
      <c r="A22" s="10">
        <v>207</v>
      </c>
      <c r="B22" s="53" t="s">
        <v>367</v>
      </c>
      <c r="C22" s="10" t="s">
        <v>38</v>
      </c>
      <c r="D22" s="69" t="s">
        <v>665</v>
      </c>
      <c r="E22" s="69" t="s">
        <v>665</v>
      </c>
      <c r="F22" s="70" t="s">
        <v>53</v>
      </c>
      <c r="G22" s="26" t="s">
        <v>9</v>
      </c>
      <c r="H22" s="8" t="s">
        <v>19</v>
      </c>
      <c r="I22" s="8" t="s">
        <v>541</v>
      </c>
      <c r="J22" s="8" t="s">
        <v>54</v>
      </c>
      <c r="K22" s="9" t="s">
        <v>265</v>
      </c>
      <c r="L22" s="30" t="s">
        <v>543</v>
      </c>
      <c r="M22" s="31">
        <v>4.9657</v>
      </c>
      <c r="N22" s="563" t="str" cm="1">
        <f t="array" ref="N22">_xlfn.XLOOKUP("?*",U22:Z22&amp;"",$U$3:$Z$3,S22,2,-1)</f>
        <v>R4</v>
      </c>
      <c r="O22" s="565" cm="1">
        <f t="array" ref="O22">_xlfn.XLOOKUP("?*",U22:Z22&amp;"",U22:Z22,T22,2,-1)</f>
        <v>4.8574000000000002</v>
      </c>
      <c r="P22" s="92"/>
      <c r="Q22" s="88"/>
      <c r="R22" s="1"/>
      <c r="S22" s="76" t="s">
        <v>1296</v>
      </c>
      <c r="T22" s="35">
        <v>4.8653000000000004</v>
      </c>
      <c r="U22" s="42"/>
      <c r="V22" s="43">
        <v>4.8619000000000003</v>
      </c>
      <c r="W22" s="43"/>
      <c r="X22" s="43">
        <v>4.8559999999999999</v>
      </c>
      <c r="Y22" s="43">
        <v>4.8574000000000002</v>
      </c>
      <c r="Z22" s="43"/>
      <c r="AA22" s="44">
        <v>4.8581000000000003</v>
      </c>
      <c r="AB22" s="81"/>
      <c r="AC22" s="22"/>
      <c r="AD22" s="444" t="str">
        <f t="shared" si="8"/>
        <v/>
      </c>
      <c r="AE22" s="441">
        <f t="shared" si="9"/>
        <v>3.4000000000000696</v>
      </c>
      <c r="AF22" s="441" t="str">
        <f t="shared" si="16"/>
        <v/>
      </c>
      <c r="AG22" s="478">
        <f t="shared" si="10"/>
        <v>5.9000000000004604</v>
      </c>
      <c r="AH22" s="443">
        <f t="shared" si="11"/>
        <v>-1.4000000000002899</v>
      </c>
      <c r="AI22" s="441" t="str">
        <f t="shared" si="17"/>
        <v/>
      </c>
      <c r="AJ22" s="655">
        <f t="shared" si="18"/>
        <v>-0.70000000000014495</v>
      </c>
      <c r="AM22" s="477" t="str" cm="1">
        <f t="array" ref="AM22">_xlfn.XLOOKUP("?*",U22:AA22&amp;"",$U$3:$AA$3,S22,2,-1)</f>
        <v>R6</v>
      </c>
      <c r="AN22" s="477" cm="1">
        <f t="array" ref="AN22">_xlfn.XLOOKUP("?*",U22:AA22&amp;"",U22:AA22,T22,2,-1)</f>
        <v>4.8581000000000003</v>
      </c>
      <c r="AO22" s="477" t="str" cm="1">
        <f t="array" ref="AO22">_xlfn.XLOOKUP("?*",U22:Z22&amp;"",$U$3:$Z$3,S22,2,-1)</f>
        <v>R4</v>
      </c>
      <c r="AP22" s="477" cm="1">
        <f t="array" ref="AP22">_xlfn.XLOOKUP("?*",U22:Z22&amp;"",U22:Z22,T22,2,-1)</f>
        <v>4.8574000000000002</v>
      </c>
      <c r="AQ22" s="477" t="str" cm="1">
        <f t="array" ref="AQ22">_xlfn.XLOOKUP("?*",U22:Y22&amp;"",$U$3:$Y$3,S22,2,-1)</f>
        <v>R4</v>
      </c>
      <c r="AR22" s="477" cm="1">
        <f t="array" ref="AR22">_xlfn.XLOOKUP("?*",U22:Y22&amp;"",U22:Y22,T22,2,-1)</f>
        <v>4.8574000000000002</v>
      </c>
      <c r="AS22" s="477" t="str" cm="1">
        <f t="array" ref="AS22">_xlfn.XLOOKUP("?*",U22:X22&amp;"",$U$3:$X$3,S22,2,-1)</f>
        <v>R3</v>
      </c>
      <c r="AT22" s="477" cm="1">
        <f t="array" ref="AT22">_xlfn.XLOOKUP("?*",U22:X22&amp;"",U22:X22,T22,2,-1)</f>
        <v>4.8559999999999999</v>
      </c>
      <c r="AU22" s="1" t="str">
        <f t="shared" si="12"/>
        <v>R1</v>
      </c>
      <c r="AV22" s="1">
        <f t="shared" si="13"/>
        <v>4.8619000000000003</v>
      </c>
      <c r="AW22" s="1" t="str">
        <f t="shared" si="14"/>
        <v>R1</v>
      </c>
      <c r="AX22" s="1">
        <f t="shared" si="15"/>
        <v>4.8619000000000003</v>
      </c>
    </row>
    <row r="23" spans="1:50" ht="17.100000000000001" customHeight="1">
      <c r="A23" s="10">
        <v>208</v>
      </c>
      <c r="B23" s="53" t="s">
        <v>588</v>
      </c>
      <c r="C23" s="10" t="s">
        <v>38</v>
      </c>
      <c r="D23" s="69" t="s">
        <v>678</v>
      </c>
      <c r="E23" s="69" t="s">
        <v>1452</v>
      </c>
      <c r="F23" s="70" t="s">
        <v>1404</v>
      </c>
      <c r="G23" s="26" t="s">
        <v>9</v>
      </c>
      <c r="H23" s="8" t="s">
        <v>10</v>
      </c>
      <c r="I23" s="8" t="s">
        <v>541</v>
      </c>
      <c r="J23" s="8" t="s">
        <v>54</v>
      </c>
      <c r="K23" s="9" t="s">
        <v>265</v>
      </c>
      <c r="L23" s="30" t="s">
        <v>543</v>
      </c>
      <c r="M23" s="31">
        <v>2.8319999999999999</v>
      </c>
      <c r="N23" s="563" t="str" cm="1">
        <f t="array" ref="N23">_xlfn.XLOOKUP("?*",U23:Z23&amp;"",$U$3:$Z$3,S23,2,-1)</f>
        <v>R3</v>
      </c>
      <c r="O23" s="565" cm="1">
        <f t="array" ref="O23">_xlfn.XLOOKUP("?*",U23:Z23&amp;"",U23:Z23,T23,2,-1)</f>
        <v>2.7118000000000002</v>
      </c>
      <c r="P23" s="92"/>
      <c r="Q23" s="87"/>
      <c r="R23" s="1"/>
      <c r="S23" s="76" t="s">
        <v>1305</v>
      </c>
      <c r="T23" s="34">
        <v>2.7107000000000001</v>
      </c>
      <c r="U23" s="39"/>
      <c r="V23" s="40"/>
      <c r="W23" s="40"/>
      <c r="X23" s="40">
        <v>2.7118000000000002</v>
      </c>
      <c r="Y23" s="40"/>
      <c r="Z23" s="40"/>
      <c r="AA23" s="41">
        <v>2.7044000000000001</v>
      </c>
      <c r="AB23" s="81"/>
      <c r="AC23" s="21"/>
      <c r="AD23" s="442" t="str">
        <f t="shared" si="8"/>
        <v/>
      </c>
      <c r="AE23" s="443" t="str">
        <f t="shared" si="9"/>
        <v/>
      </c>
      <c r="AF23" s="443" t="str">
        <f t="shared" si="16"/>
        <v/>
      </c>
      <c r="AG23" s="478">
        <f t="shared" si="10"/>
        <v>-1.1000000000001009</v>
      </c>
      <c r="AH23" s="443" t="str">
        <f t="shared" si="11"/>
        <v/>
      </c>
      <c r="AI23" s="441" t="str">
        <f t="shared" si="17"/>
        <v/>
      </c>
      <c r="AJ23" s="655">
        <f t="shared" si="18"/>
        <v>7.4000000000000732</v>
      </c>
      <c r="AM23" s="477" t="str" cm="1">
        <f t="array" ref="AM23">_xlfn.XLOOKUP("?*",U23:AA23&amp;"",$U$3:$AA$3,S23,2,-1)</f>
        <v>R6</v>
      </c>
      <c r="AN23" s="477" cm="1">
        <f t="array" ref="AN23">_xlfn.XLOOKUP("?*",U23:AA23&amp;"",U23:AA23,T23,2,-1)</f>
        <v>2.7044000000000001</v>
      </c>
      <c r="AO23" s="477" t="str" cm="1">
        <f t="array" ref="AO23">_xlfn.XLOOKUP("?*",U23:Z23&amp;"",$U$3:$Z$3,S23,2,-1)</f>
        <v>R3</v>
      </c>
      <c r="AP23" s="477" cm="1">
        <f t="array" ref="AP23">_xlfn.XLOOKUP("?*",U23:Z23&amp;"",U23:Z23,T23,2,-1)</f>
        <v>2.7118000000000002</v>
      </c>
      <c r="AQ23" s="477" t="str" cm="1">
        <f t="array" ref="AQ23">_xlfn.XLOOKUP("?*",U23:Y23&amp;"",$U$3:$Y$3,S23,2,-1)</f>
        <v>R3</v>
      </c>
      <c r="AR23" s="477" cm="1">
        <f t="array" ref="AR23">_xlfn.XLOOKUP("?*",U23:Y23&amp;"",U23:Y23,T23,2,-1)</f>
        <v>2.7118000000000002</v>
      </c>
      <c r="AS23" s="477" t="str" cm="1">
        <f t="array" ref="AS23">_xlfn.XLOOKUP("?*",U23:X23&amp;"",$U$3:$X$3,S23,2,-1)</f>
        <v>R3</v>
      </c>
      <c r="AT23" s="477" cm="1">
        <f t="array" ref="AT23">_xlfn.XLOOKUP("?*",U23:X23&amp;"",U23:X23,T23,2,-1)</f>
        <v>2.7118000000000002</v>
      </c>
      <c r="AU23" s="1" t="str">
        <f t="shared" si="12"/>
        <v>H28</v>
      </c>
      <c r="AV23" s="1">
        <f t="shared" si="13"/>
        <v>2.7107000000000001</v>
      </c>
      <c r="AW23" s="1" t="str">
        <f t="shared" si="14"/>
        <v>H28</v>
      </c>
      <c r="AX23" s="1">
        <f t="shared" si="15"/>
        <v>2.7107000000000001</v>
      </c>
    </row>
    <row r="24" spans="1:50" ht="17.100000000000001" customHeight="1">
      <c r="A24" s="10">
        <v>209</v>
      </c>
      <c r="B24" s="53" t="s">
        <v>589</v>
      </c>
      <c r="C24" s="10" t="s">
        <v>38</v>
      </c>
      <c r="D24" s="69" t="s">
        <v>566</v>
      </c>
      <c r="E24" s="69" t="s">
        <v>1453</v>
      </c>
      <c r="F24" s="70" t="s">
        <v>1405</v>
      </c>
      <c r="G24" s="26" t="s">
        <v>9</v>
      </c>
      <c r="H24" s="8" t="s">
        <v>10</v>
      </c>
      <c r="I24" s="8" t="s">
        <v>541</v>
      </c>
      <c r="J24" s="8" t="s">
        <v>54</v>
      </c>
      <c r="K24" s="9" t="s">
        <v>265</v>
      </c>
      <c r="L24" s="30" t="s">
        <v>543</v>
      </c>
      <c r="M24" s="31">
        <v>3.2394000000000003</v>
      </c>
      <c r="N24" s="563" t="str" cm="1">
        <f t="array" ref="N24">_xlfn.XLOOKUP("?*",U24:Z24&amp;"",$U$3:$Z$3,S24,2,-1)</f>
        <v>R5</v>
      </c>
      <c r="O24" s="565" cm="1">
        <f t="array" ref="O24">_xlfn.XLOOKUP("?*",U24:Z24&amp;"",U24:Z24,T24,2,-1)</f>
        <v>3.0386000000000002</v>
      </c>
      <c r="P24" s="92"/>
      <c r="Q24" s="87"/>
      <c r="R24" s="1"/>
      <c r="S24" s="76" t="s">
        <v>1306</v>
      </c>
      <c r="T24" s="34">
        <v>3.0432999999999999</v>
      </c>
      <c r="U24" s="39"/>
      <c r="V24" s="40"/>
      <c r="W24" s="40"/>
      <c r="X24" s="40">
        <v>3.0411000000000001</v>
      </c>
      <c r="Y24" s="40"/>
      <c r="Z24" s="40">
        <v>3.0386000000000002</v>
      </c>
      <c r="AA24" s="41">
        <v>3.0360999999999998</v>
      </c>
      <c r="AB24" s="81"/>
      <c r="AC24" s="21"/>
      <c r="AD24" s="442" t="str">
        <f t="shared" si="8"/>
        <v/>
      </c>
      <c r="AE24" s="443" t="str">
        <f t="shared" si="9"/>
        <v/>
      </c>
      <c r="AF24" s="443" t="str">
        <f t="shared" si="16"/>
        <v/>
      </c>
      <c r="AG24" s="478">
        <f t="shared" si="10"/>
        <v>2.1999999999997577</v>
      </c>
      <c r="AH24" s="443" t="str">
        <f t="shared" si="11"/>
        <v/>
      </c>
      <c r="AI24" s="441">
        <f t="shared" si="17"/>
        <v>2.4999999999999467</v>
      </c>
      <c r="AJ24" s="655">
        <f t="shared" si="18"/>
        <v>2.5000000000003908</v>
      </c>
      <c r="AM24" s="477" t="str" cm="1">
        <f t="array" ref="AM24">_xlfn.XLOOKUP("?*",U24:AA24&amp;"",$U$3:$AA$3,S24,2,-1)</f>
        <v>R6</v>
      </c>
      <c r="AN24" s="477" cm="1">
        <f t="array" ref="AN24">_xlfn.XLOOKUP("?*",U24:AA24&amp;"",U24:AA24,T24,2,-1)</f>
        <v>3.0360999999999998</v>
      </c>
      <c r="AO24" s="477" t="str" cm="1">
        <f t="array" ref="AO24">_xlfn.XLOOKUP("?*",U24:Z24&amp;"",$U$3:$Z$3,S24,2,-1)</f>
        <v>R5</v>
      </c>
      <c r="AP24" s="477" cm="1">
        <f t="array" ref="AP24">_xlfn.XLOOKUP("?*",U24:Z24&amp;"",U24:Z24,T24,2,-1)</f>
        <v>3.0386000000000002</v>
      </c>
      <c r="AQ24" s="477" t="str" cm="1">
        <f t="array" ref="AQ24">_xlfn.XLOOKUP("?*",U24:Y24&amp;"",$U$3:$Y$3,S24,2,-1)</f>
        <v>R3</v>
      </c>
      <c r="AR24" s="477" cm="1">
        <f t="array" ref="AR24">_xlfn.XLOOKUP("?*",U24:Y24&amp;"",U24:Y24,T24,2,-1)</f>
        <v>3.0411000000000001</v>
      </c>
      <c r="AS24" s="477" t="str" cm="1">
        <f t="array" ref="AS24">_xlfn.XLOOKUP("?*",U24:X24&amp;"",$U$3:$X$3,S24,2,-1)</f>
        <v>R3</v>
      </c>
      <c r="AT24" s="477" cm="1">
        <f t="array" ref="AT24">_xlfn.XLOOKUP("?*",U24:X24&amp;"",U24:X24,T24,2,-1)</f>
        <v>3.0411000000000001</v>
      </c>
      <c r="AU24" s="1" t="str">
        <f t="shared" si="12"/>
        <v>H28</v>
      </c>
      <c r="AV24" s="1">
        <f t="shared" si="13"/>
        <v>3.0432999999999999</v>
      </c>
      <c r="AW24" s="1" t="str">
        <f t="shared" si="14"/>
        <v>H28</v>
      </c>
      <c r="AX24" s="1">
        <f t="shared" si="15"/>
        <v>3.0432999999999999</v>
      </c>
    </row>
    <row r="25" spans="1:50" ht="16.5" customHeight="1">
      <c r="A25" s="10">
        <v>210</v>
      </c>
      <c r="B25" s="53" t="s">
        <v>373</v>
      </c>
      <c r="C25" s="10" t="s">
        <v>38</v>
      </c>
      <c r="D25" s="69" t="s">
        <v>697</v>
      </c>
      <c r="E25" s="69" t="s">
        <v>697</v>
      </c>
      <c r="F25" s="70" t="s">
        <v>57</v>
      </c>
      <c r="G25" s="26" t="s">
        <v>9</v>
      </c>
      <c r="H25" s="8" t="s">
        <v>19</v>
      </c>
      <c r="I25" s="8" t="s">
        <v>541</v>
      </c>
      <c r="J25" s="8" t="s">
        <v>539</v>
      </c>
      <c r="K25" s="9" t="s">
        <v>265</v>
      </c>
      <c r="L25" s="30" t="s">
        <v>543</v>
      </c>
      <c r="M25" s="31">
        <v>6.7906000000000004</v>
      </c>
      <c r="N25" s="563" t="str" cm="1">
        <f t="array" ref="N25">_xlfn.XLOOKUP("?*",U25:Z25&amp;"",$U$3:$Z$3,S25,2,-1)</f>
        <v>R3</v>
      </c>
      <c r="O25" s="565" cm="1">
        <f t="array" ref="O25">_xlfn.XLOOKUP("?*",U25:Z25&amp;"",U25:Z25,T25,2,-1)</f>
        <v>6.6867000000000001</v>
      </c>
      <c r="P25" s="92"/>
      <c r="Q25" s="88"/>
      <c r="R25" s="1"/>
      <c r="S25" s="76" t="s">
        <v>1306</v>
      </c>
      <c r="T25" s="35">
        <v>6.6920999999999999</v>
      </c>
      <c r="U25" s="42">
        <v>6.6887999999999996</v>
      </c>
      <c r="V25" s="43"/>
      <c r="W25" s="43"/>
      <c r="X25" s="43">
        <v>6.6867000000000001</v>
      </c>
      <c r="Y25" s="43"/>
      <c r="Z25" s="43"/>
      <c r="AA25" s="44"/>
      <c r="AB25" s="81"/>
      <c r="AC25" s="22"/>
      <c r="AD25" s="444">
        <f t="shared" si="8"/>
        <v>3.3000000000003027</v>
      </c>
      <c r="AE25" s="441" t="str">
        <f t="shared" si="9"/>
        <v/>
      </c>
      <c r="AF25" s="441" t="str">
        <f t="shared" si="16"/>
        <v/>
      </c>
      <c r="AG25" s="478">
        <f t="shared" si="10"/>
        <v>2.0999999999995467</v>
      </c>
      <c r="AH25" s="443" t="str">
        <f t="shared" si="11"/>
        <v/>
      </c>
      <c r="AI25" s="441" t="str">
        <f t="shared" si="17"/>
        <v/>
      </c>
      <c r="AJ25" s="655" t="str">
        <f t="shared" si="18"/>
        <v/>
      </c>
      <c r="AM25" s="477" t="str" cm="1">
        <f t="array" ref="AM25">_xlfn.XLOOKUP("?*",U25:AA25&amp;"",$U$3:$AA$3,S25,2,-1)</f>
        <v>R3</v>
      </c>
      <c r="AN25" s="477" cm="1">
        <f t="array" ref="AN25">_xlfn.XLOOKUP("?*",U25:AA25&amp;"",U25:AA25,T25,2,-1)</f>
        <v>6.6867000000000001</v>
      </c>
      <c r="AO25" s="477" t="str" cm="1">
        <f t="array" ref="AO25">_xlfn.XLOOKUP("?*",U25:Z25&amp;"",$U$3:$Z$3,S25,2,-1)</f>
        <v>R3</v>
      </c>
      <c r="AP25" s="477" cm="1">
        <f t="array" ref="AP25">_xlfn.XLOOKUP("?*",U25:Z25&amp;"",U25:Z25,T25,2,-1)</f>
        <v>6.6867000000000001</v>
      </c>
      <c r="AQ25" s="477" t="str" cm="1">
        <f t="array" ref="AQ25">_xlfn.XLOOKUP("?*",U25:Y25&amp;"",$U$3:$Y$3,S25,2,-1)</f>
        <v>R3</v>
      </c>
      <c r="AR25" s="477" cm="1">
        <f t="array" ref="AR25">_xlfn.XLOOKUP("?*",U25:Y25&amp;"",U25:Y25,T25,2,-1)</f>
        <v>6.6867000000000001</v>
      </c>
      <c r="AS25" s="477" t="str" cm="1">
        <f t="array" ref="AS25">_xlfn.XLOOKUP("?*",U25:X25&amp;"",$U$3:$X$3,S25,2,-1)</f>
        <v>R3</v>
      </c>
      <c r="AT25" s="477" cm="1">
        <f t="array" ref="AT25">_xlfn.XLOOKUP("?*",U25:X25&amp;"",U25:X25,T25,2,-1)</f>
        <v>6.6867000000000001</v>
      </c>
      <c r="AU25" s="1" t="str">
        <f t="shared" si="12"/>
        <v>H30</v>
      </c>
      <c r="AV25" s="1">
        <f t="shared" si="13"/>
        <v>6.6887999999999996</v>
      </c>
      <c r="AW25" s="1" t="str">
        <f t="shared" si="14"/>
        <v>H30</v>
      </c>
      <c r="AX25" s="1">
        <f t="shared" si="15"/>
        <v>6.6887999999999996</v>
      </c>
    </row>
    <row r="26" spans="1:50" ht="17.100000000000001" customHeight="1">
      <c r="A26" s="502">
        <v>211</v>
      </c>
      <c r="B26" s="503" t="s">
        <v>372</v>
      </c>
      <c r="C26" s="502" t="s">
        <v>38</v>
      </c>
      <c r="D26" s="504" t="s">
        <v>698</v>
      </c>
      <c r="E26" s="504" t="s">
        <v>698</v>
      </c>
      <c r="F26" s="484" t="s">
        <v>59</v>
      </c>
      <c r="G26" s="485" t="s">
        <v>9</v>
      </c>
      <c r="H26" s="486" t="s">
        <v>19</v>
      </c>
      <c r="I26" s="486" t="s">
        <v>541</v>
      </c>
      <c r="J26" s="486" t="s">
        <v>539</v>
      </c>
      <c r="K26" s="487" t="s">
        <v>265</v>
      </c>
      <c r="L26" s="30" t="s">
        <v>543</v>
      </c>
      <c r="M26" s="31">
        <v>5.7378999999999998</v>
      </c>
      <c r="N26" s="563" t="str" cm="1">
        <f t="array" ref="N26">_xlfn.XLOOKUP("?*",U26:Z26&amp;"",$U$3:$Z$3,S26,2,-1)</f>
        <v>H23</v>
      </c>
      <c r="O26" s="565" cm="1">
        <f t="array" ref="O26">_xlfn.XLOOKUP("?*",U26:Z26&amp;"",U26:Z26,T26,2,-1)</f>
        <v>5.6390000000000002</v>
      </c>
      <c r="P26" s="92"/>
      <c r="Q26" s="88"/>
      <c r="R26" s="1"/>
      <c r="S26" s="76" t="s">
        <v>1311</v>
      </c>
      <c r="T26" s="35">
        <v>5.6390000000000002</v>
      </c>
      <c r="U26" s="42"/>
      <c r="V26" s="43"/>
      <c r="W26" s="43"/>
      <c r="X26" s="43"/>
      <c r="Y26" s="43"/>
      <c r="Z26" s="43"/>
      <c r="AA26" s="44"/>
      <c r="AB26" s="81"/>
      <c r="AC26" s="22"/>
      <c r="AD26" s="444" t="str">
        <f t="shared" si="8"/>
        <v/>
      </c>
      <c r="AE26" s="441" t="str">
        <f t="shared" si="9"/>
        <v/>
      </c>
      <c r="AF26" s="441" t="str">
        <f t="shared" si="16"/>
        <v/>
      </c>
      <c r="AG26" s="478" t="str">
        <f t="shared" si="10"/>
        <v/>
      </c>
      <c r="AH26" s="443" t="str">
        <f t="shared" si="11"/>
        <v/>
      </c>
      <c r="AI26" s="441" t="str">
        <f t="shared" si="17"/>
        <v/>
      </c>
      <c r="AJ26" s="655" t="str">
        <f t="shared" si="18"/>
        <v/>
      </c>
      <c r="AM26" s="477" t="str" cm="1">
        <f t="array" ref="AM26">_xlfn.XLOOKUP("?*",U26:AA26&amp;"",$U$3:$AA$3,S26,2,-1)</f>
        <v>H23</v>
      </c>
      <c r="AN26" s="477" cm="1">
        <f t="array" ref="AN26">_xlfn.XLOOKUP("?*",U26:AA26&amp;"",U26:AA26,T26,2,-1)</f>
        <v>5.6390000000000002</v>
      </c>
      <c r="AO26" s="477" t="str" cm="1">
        <f t="array" ref="AO26">_xlfn.XLOOKUP("?*",U26:Z26&amp;"",$U$3:$Z$3,S26,2,-1)</f>
        <v>H23</v>
      </c>
      <c r="AP26" s="477" cm="1">
        <f t="array" ref="AP26">_xlfn.XLOOKUP("?*",U26:Z26&amp;"",U26:Z26,T26,2,-1)</f>
        <v>5.6390000000000002</v>
      </c>
      <c r="AQ26" s="477" t="str" cm="1">
        <f t="array" ref="AQ26">_xlfn.XLOOKUP("?*",U26:Y26&amp;"",$U$3:$Y$3,S26,2,-1)</f>
        <v>H23</v>
      </c>
      <c r="AR26" s="477" cm="1">
        <f t="array" ref="AR26">_xlfn.XLOOKUP("?*",U26:Y26&amp;"",U26:Y26,T26,2,-1)</f>
        <v>5.6390000000000002</v>
      </c>
      <c r="AS26" s="477" t="str" cm="1">
        <f t="array" ref="AS26">_xlfn.XLOOKUP("?*",U26:X26&amp;"",$U$3:$X$3,S26,2,-1)</f>
        <v>H23</v>
      </c>
      <c r="AT26" s="477" cm="1">
        <f t="array" ref="AT26">_xlfn.XLOOKUP("?*",U26:X26&amp;"",U26:X26,T26,2,-1)</f>
        <v>5.6390000000000002</v>
      </c>
      <c r="AU26" s="1" t="str">
        <f t="shared" si="12"/>
        <v>H23</v>
      </c>
      <c r="AV26" s="1">
        <f t="shared" si="13"/>
        <v>5.6390000000000002</v>
      </c>
      <c r="AW26" s="1" t="str">
        <f t="shared" si="14"/>
        <v>H23</v>
      </c>
      <c r="AX26" s="1">
        <f t="shared" si="15"/>
        <v>5.6390000000000002</v>
      </c>
    </row>
    <row r="27" spans="1:50" ht="17.100000000000001" customHeight="1">
      <c r="A27" s="10">
        <v>212</v>
      </c>
      <c r="B27" s="53" t="s">
        <v>590</v>
      </c>
      <c r="C27" s="10" t="s">
        <v>38</v>
      </c>
      <c r="D27" s="69" t="s">
        <v>666</v>
      </c>
      <c r="E27" s="69" t="s">
        <v>666</v>
      </c>
      <c r="F27" s="70" t="s">
        <v>61</v>
      </c>
      <c r="G27" s="26" t="s">
        <v>9</v>
      </c>
      <c r="H27" s="8" t="s">
        <v>19</v>
      </c>
      <c r="I27" s="8" t="s">
        <v>541</v>
      </c>
      <c r="J27" s="8" t="s">
        <v>539</v>
      </c>
      <c r="K27" s="9" t="s">
        <v>265</v>
      </c>
      <c r="L27" s="30" t="s">
        <v>543</v>
      </c>
      <c r="M27" s="31">
        <v>5.5713999999999997</v>
      </c>
      <c r="N27" s="563" t="str" cm="1">
        <f t="array" ref="N27">_xlfn.XLOOKUP("?*",U27:Z27&amp;"",$U$3:$Z$3,S27,2,-1)</f>
        <v>R4</v>
      </c>
      <c r="O27" s="565" cm="1">
        <f t="array" ref="O27">_xlfn.XLOOKUP("?*",U27:Z27&amp;"",U27:Z27,T27,2,-1)</f>
        <v>5.4462999999999999</v>
      </c>
      <c r="P27" s="92"/>
      <c r="Q27" s="88"/>
      <c r="R27" s="1"/>
      <c r="S27" s="76" t="s">
        <v>1306</v>
      </c>
      <c r="T27" s="35">
        <v>5.4537000000000004</v>
      </c>
      <c r="U27" s="42"/>
      <c r="V27" s="43">
        <v>5.4508999999999999</v>
      </c>
      <c r="W27" s="43"/>
      <c r="X27" s="43">
        <v>5.4478999999999997</v>
      </c>
      <c r="Y27" s="43">
        <v>5.4462999999999999</v>
      </c>
      <c r="Z27" s="43"/>
      <c r="AA27" s="44"/>
      <c r="AB27" s="81"/>
      <c r="AC27" s="22"/>
      <c r="AD27" s="444" t="str">
        <f t="shared" si="8"/>
        <v/>
      </c>
      <c r="AE27" s="441">
        <f t="shared" si="9"/>
        <v>2.8000000000005798</v>
      </c>
      <c r="AF27" s="441" t="str">
        <f t="shared" si="16"/>
        <v/>
      </c>
      <c r="AG27" s="478">
        <f t="shared" si="10"/>
        <v>3.0000000000001137</v>
      </c>
      <c r="AH27" s="443">
        <f t="shared" si="11"/>
        <v>1.5999999999998238</v>
      </c>
      <c r="AI27" s="441" t="str">
        <f t="shared" si="17"/>
        <v/>
      </c>
      <c r="AJ27" s="655" t="str">
        <f t="shared" si="18"/>
        <v/>
      </c>
      <c r="AM27" s="477" t="str" cm="1">
        <f t="array" ref="AM27">_xlfn.XLOOKUP("?*",U27:AA27&amp;"",$U$3:$AA$3,S27,2,-1)</f>
        <v>R4</v>
      </c>
      <c r="AN27" s="477" cm="1">
        <f t="array" ref="AN27">_xlfn.XLOOKUP("?*",U27:AA27&amp;"",U27:AA27,T27,2,-1)</f>
        <v>5.4462999999999999</v>
      </c>
      <c r="AO27" s="477" t="str" cm="1">
        <f t="array" ref="AO27">_xlfn.XLOOKUP("?*",U27:Z27&amp;"",$U$3:$Z$3,S27,2,-1)</f>
        <v>R4</v>
      </c>
      <c r="AP27" s="477" cm="1">
        <f t="array" ref="AP27">_xlfn.XLOOKUP("?*",U27:Z27&amp;"",U27:Z27,T27,2,-1)</f>
        <v>5.4462999999999999</v>
      </c>
      <c r="AQ27" s="477" t="str" cm="1">
        <f t="array" ref="AQ27">_xlfn.XLOOKUP("?*",U27:Y27&amp;"",$U$3:$Y$3,S27,2,-1)</f>
        <v>R4</v>
      </c>
      <c r="AR27" s="477" cm="1">
        <f t="array" ref="AR27">_xlfn.XLOOKUP("?*",U27:Y27&amp;"",U27:Y27,T27,2,-1)</f>
        <v>5.4462999999999999</v>
      </c>
      <c r="AS27" s="477" t="str" cm="1">
        <f t="array" ref="AS27">_xlfn.XLOOKUP("?*",U27:X27&amp;"",$U$3:$X$3,S27,2,-1)</f>
        <v>R3</v>
      </c>
      <c r="AT27" s="477" cm="1">
        <f t="array" ref="AT27">_xlfn.XLOOKUP("?*",U27:X27&amp;"",U27:X27,T27,2,-1)</f>
        <v>5.4478999999999997</v>
      </c>
      <c r="AU27" s="1" t="str">
        <f t="shared" si="12"/>
        <v>R1</v>
      </c>
      <c r="AV27" s="1">
        <f t="shared" si="13"/>
        <v>5.4508999999999999</v>
      </c>
      <c r="AW27" s="1" t="str">
        <f t="shared" si="14"/>
        <v>R1</v>
      </c>
      <c r="AX27" s="1">
        <f t="shared" si="15"/>
        <v>5.4508999999999999</v>
      </c>
    </row>
    <row r="28" spans="1:50" ht="17.100000000000001" customHeight="1">
      <c r="A28" s="10">
        <v>213</v>
      </c>
      <c r="B28" s="53" t="s">
        <v>591</v>
      </c>
      <c r="C28" s="10" t="s">
        <v>38</v>
      </c>
      <c r="D28" s="69" t="s">
        <v>62</v>
      </c>
      <c r="E28" s="69" t="s">
        <v>62</v>
      </c>
      <c r="F28" s="70" t="s">
        <v>63</v>
      </c>
      <c r="G28" s="26" t="s">
        <v>9</v>
      </c>
      <c r="H28" s="8" t="s">
        <v>19</v>
      </c>
      <c r="I28" s="8" t="s">
        <v>541</v>
      </c>
      <c r="J28" s="8" t="s">
        <v>539</v>
      </c>
      <c r="K28" s="9" t="s">
        <v>265</v>
      </c>
      <c r="L28" s="30" t="s">
        <v>543</v>
      </c>
      <c r="M28" s="31">
        <v>4.8944999999999999</v>
      </c>
      <c r="N28" s="563" t="str" cm="1">
        <f t="array" ref="N28">_xlfn.XLOOKUP("?*",U28:Z28&amp;"",$U$3:$Z$3,S28,2,-1)</f>
        <v>R4</v>
      </c>
      <c r="O28" s="565" cm="1">
        <f t="array" ref="O28">_xlfn.XLOOKUP("?*",U28:Z28&amp;"",U28:Z28,T28,2,-1)</f>
        <v>4.7294999999999998</v>
      </c>
      <c r="P28" s="92"/>
      <c r="Q28" s="87"/>
      <c r="R28" s="1"/>
      <c r="S28" s="76" t="s">
        <v>1304</v>
      </c>
      <c r="T28" s="34">
        <v>4.7889999999999997</v>
      </c>
      <c r="U28" s="39"/>
      <c r="V28" s="40">
        <v>4.7317999999999998</v>
      </c>
      <c r="W28" s="40"/>
      <c r="X28" s="40"/>
      <c r="Y28" s="40">
        <v>4.7294999999999998</v>
      </c>
      <c r="Z28" s="40"/>
      <c r="AA28" s="41"/>
      <c r="AB28" s="81"/>
      <c r="AC28" s="21"/>
      <c r="AD28" s="442" t="str">
        <f t="shared" si="8"/>
        <v/>
      </c>
      <c r="AE28" s="443">
        <f t="shared" si="9"/>
        <v>57.199999999999918</v>
      </c>
      <c r="AF28" s="443" t="str">
        <f t="shared" si="16"/>
        <v/>
      </c>
      <c r="AG28" s="478" t="str">
        <f t="shared" si="10"/>
        <v/>
      </c>
      <c r="AH28" s="443">
        <f t="shared" si="11"/>
        <v>2.2999999999999687</v>
      </c>
      <c r="AI28" s="441" t="str">
        <f t="shared" si="17"/>
        <v/>
      </c>
      <c r="AJ28" s="655" t="str">
        <f t="shared" si="18"/>
        <v/>
      </c>
      <c r="AM28" s="477" t="str" cm="1">
        <f t="array" ref="AM28">_xlfn.XLOOKUP("?*",U28:AA28&amp;"",$U$3:$AA$3,S28,2,-1)</f>
        <v>R4</v>
      </c>
      <c r="AN28" s="477" cm="1">
        <f t="array" ref="AN28">_xlfn.XLOOKUP("?*",U28:AA28&amp;"",U28:AA28,T28,2,-1)</f>
        <v>4.7294999999999998</v>
      </c>
      <c r="AO28" s="477" t="str" cm="1">
        <f t="array" ref="AO28">_xlfn.XLOOKUP("?*",U28:Z28&amp;"",$U$3:$Z$3,S28,2,-1)</f>
        <v>R4</v>
      </c>
      <c r="AP28" s="477" cm="1">
        <f t="array" ref="AP28">_xlfn.XLOOKUP("?*",U28:Z28&amp;"",U28:Z28,T28,2,-1)</f>
        <v>4.7294999999999998</v>
      </c>
      <c r="AQ28" s="477" t="str" cm="1">
        <f t="array" ref="AQ28">_xlfn.XLOOKUP("?*",U28:Y28&amp;"",$U$3:$Y$3,S28,2,-1)</f>
        <v>R4</v>
      </c>
      <c r="AR28" s="477" cm="1">
        <f t="array" ref="AR28">_xlfn.XLOOKUP("?*",U28:Y28&amp;"",U28:Y28,T28,2,-1)</f>
        <v>4.7294999999999998</v>
      </c>
      <c r="AS28" s="477" t="str" cm="1">
        <f t="array" ref="AS28">_xlfn.XLOOKUP("?*",U28:X28&amp;"",$U$3:$X$3,S28,2,-1)</f>
        <v>R1</v>
      </c>
      <c r="AT28" s="477" cm="1">
        <f t="array" ref="AT28">_xlfn.XLOOKUP("?*",U28:X28&amp;"",U28:X28,T28,2,-1)</f>
        <v>4.7317999999999998</v>
      </c>
      <c r="AU28" s="1" t="str">
        <f t="shared" si="12"/>
        <v>R1</v>
      </c>
      <c r="AV28" s="1">
        <f t="shared" si="13"/>
        <v>4.7317999999999998</v>
      </c>
      <c r="AW28" s="1" t="str">
        <f t="shared" si="14"/>
        <v>R1</v>
      </c>
      <c r="AX28" s="1">
        <f t="shared" si="15"/>
        <v>4.7317999999999998</v>
      </c>
    </row>
    <row r="29" spans="1:50" ht="17.100000000000001" customHeight="1">
      <c r="A29" s="10">
        <v>214</v>
      </c>
      <c r="B29" s="53" t="s">
        <v>368</v>
      </c>
      <c r="C29" s="10" t="s">
        <v>38</v>
      </c>
      <c r="D29" s="69" t="s">
        <v>680</v>
      </c>
      <c r="E29" s="69" t="s">
        <v>1454</v>
      </c>
      <c r="F29" s="70" t="s">
        <v>1406</v>
      </c>
      <c r="G29" s="26" t="s">
        <v>9</v>
      </c>
      <c r="H29" s="8" t="s">
        <v>288</v>
      </c>
      <c r="I29" s="8" t="s">
        <v>541</v>
      </c>
      <c r="J29" s="8" t="s">
        <v>539</v>
      </c>
      <c r="K29" s="9" t="s">
        <v>265</v>
      </c>
      <c r="L29" s="30" t="s">
        <v>543</v>
      </c>
      <c r="M29" s="31">
        <v>4.9977999999999998</v>
      </c>
      <c r="N29" s="563" t="str" cm="1">
        <f t="array" ref="N29">_xlfn.XLOOKUP("?*",U29:Z29&amp;"",$U$3:$Z$3,S29,2,-1)</f>
        <v>R5</v>
      </c>
      <c r="O29" s="565" cm="1">
        <f t="array" ref="O29">_xlfn.XLOOKUP("?*",U29:Z29&amp;"",U29:Z29,T29,2,-1)</f>
        <v>4.8742000000000001</v>
      </c>
      <c r="P29" s="92"/>
      <c r="Q29" s="87"/>
      <c r="R29" s="1"/>
      <c r="S29" s="76" t="s">
        <v>1296</v>
      </c>
      <c r="T29" s="34">
        <v>4.8653000000000004</v>
      </c>
      <c r="U29" s="39"/>
      <c r="V29" s="40"/>
      <c r="W29" s="40"/>
      <c r="X29" s="40">
        <v>4.8746999999999998</v>
      </c>
      <c r="Y29" s="40"/>
      <c r="Z29" s="40">
        <v>4.8742000000000001</v>
      </c>
      <c r="AA29" s="41"/>
      <c r="AB29" s="81"/>
      <c r="AC29" s="21"/>
      <c r="AD29" s="442" t="str">
        <f t="shared" si="8"/>
        <v/>
      </c>
      <c r="AE29" s="443" t="str">
        <f t="shared" si="9"/>
        <v/>
      </c>
      <c r="AF29" s="443" t="str">
        <f t="shared" si="16"/>
        <v/>
      </c>
      <c r="AG29" s="478">
        <f t="shared" si="10"/>
        <v>-9.3999999999994088</v>
      </c>
      <c r="AH29" s="443" t="str">
        <f t="shared" si="11"/>
        <v/>
      </c>
      <c r="AI29" s="441">
        <f t="shared" si="17"/>
        <v>0.49999999999972289</v>
      </c>
      <c r="AJ29" s="655" t="str">
        <f t="shared" si="18"/>
        <v/>
      </c>
      <c r="AM29" s="477" t="str" cm="1">
        <f t="array" ref="AM29">_xlfn.XLOOKUP("?*",U29:AA29&amp;"",$U$3:$AA$3,S29,2,-1)</f>
        <v>R5</v>
      </c>
      <c r="AN29" s="477" cm="1">
        <f t="array" ref="AN29">_xlfn.XLOOKUP("?*",U29:AA29&amp;"",U29:AA29,T29,2,-1)</f>
        <v>4.8742000000000001</v>
      </c>
      <c r="AO29" s="477" t="str" cm="1">
        <f t="array" ref="AO29">_xlfn.XLOOKUP("?*",U29:Z29&amp;"",$U$3:$Z$3,S29,2,-1)</f>
        <v>R5</v>
      </c>
      <c r="AP29" s="477" cm="1">
        <f t="array" ref="AP29">_xlfn.XLOOKUP("?*",U29:Z29&amp;"",U29:Z29,T29,2,-1)</f>
        <v>4.8742000000000001</v>
      </c>
      <c r="AQ29" s="477" t="str" cm="1">
        <f t="array" ref="AQ29">_xlfn.XLOOKUP("?*",U29:Y29&amp;"",$U$3:$Y$3,S29,2,-1)</f>
        <v>R3</v>
      </c>
      <c r="AR29" s="477" cm="1">
        <f t="array" ref="AR29">_xlfn.XLOOKUP("?*",U29:Y29&amp;"",U29:Y29,T29,2,-1)</f>
        <v>4.8746999999999998</v>
      </c>
      <c r="AS29" s="477" t="str" cm="1">
        <f t="array" ref="AS29">_xlfn.XLOOKUP("?*",U29:X29&amp;"",$U$3:$X$3,S29,2,-1)</f>
        <v>R3</v>
      </c>
      <c r="AT29" s="477" cm="1">
        <f t="array" ref="AT29">_xlfn.XLOOKUP("?*",U29:X29&amp;"",U29:X29,T29,2,-1)</f>
        <v>4.8746999999999998</v>
      </c>
      <c r="AU29" s="1" t="str">
        <f t="shared" si="12"/>
        <v>H29</v>
      </c>
      <c r="AV29" s="1">
        <f t="shared" si="13"/>
        <v>4.8653000000000004</v>
      </c>
      <c r="AW29" s="1" t="str">
        <f t="shared" si="14"/>
        <v>H29</v>
      </c>
      <c r="AX29" s="1">
        <f t="shared" si="15"/>
        <v>4.8653000000000004</v>
      </c>
    </row>
    <row r="30" spans="1:50" s="2" customFormat="1" ht="17.100000000000001" customHeight="1">
      <c r="A30" s="10">
        <v>215</v>
      </c>
      <c r="B30" s="53" t="s">
        <v>400</v>
      </c>
      <c r="C30" s="10" t="s">
        <v>38</v>
      </c>
      <c r="D30" s="69" t="s">
        <v>653</v>
      </c>
      <c r="E30" s="69" t="s">
        <v>653</v>
      </c>
      <c r="F30" s="70" t="s">
        <v>1407</v>
      </c>
      <c r="G30" s="26" t="s">
        <v>9</v>
      </c>
      <c r="H30" s="8" t="s">
        <v>19</v>
      </c>
      <c r="I30" s="8" t="s">
        <v>541</v>
      </c>
      <c r="J30" s="8" t="s">
        <v>54</v>
      </c>
      <c r="K30" s="9" t="s">
        <v>265</v>
      </c>
      <c r="L30" s="30" t="s">
        <v>543</v>
      </c>
      <c r="M30" s="31">
        <v>3.4995000000000003</v>
      </c>
      <c r="N30" s="563" t="str" cm="1">
        <f t="array" ref="N30">_xlfn.XLOOKUP("?*",U30:Z30&amp;"",$U$3:$Z$3,S30,2,-1)</f>
        <v>R4</v>
      </c>
      <c r="O30" s="565" cm="1">
        <f t="array" ref="O30">_xlfn.XLOOKUP("?*",U30:Z30&amp;"",U30:Z30,T30,2,-1)</f>
        <v>3.3919000000000001</v>
      </c>
      <c r="P30" s="93"/>
      <c r="Q30" s="88"/>
      <c r="R30" s="1"/>
      <c r="S30" s="77" t="s">
        <v>1299</v>
      </c>
      <c r="T30" s="35">
        <v>3.3956</v>
      </c>
      <c r="U30" s="42"/>
      <c r="V30" s="43">
        <v>3.3948999999999998</v>
      </c>
      <c r="W30" s="43"/>
      <c r="X30" s="43"/>
      <c r="Y30" s="43">
        <v>3.3919000000000001</v>
      </c>
      <c r="Z30" s="43"/>
      <c r="AA30" s="44"/>
      <c r="AB30" s="82"/>
      <c r="AC30" s="22"/>
      <c r="AD30" s="444" t="str">
        <f t="shared" si="8"/>
        <v/>
      </c>
      <c r="AE30" s="441">
        <f t="shared" si="9"/>
        <v>0.70000000000014495</v>
      </c>
      <c r="AF30" s="441" t="str">
        <f t="shared" si="16"/>
        <v/>
      </c>
      <c r="AG30" s="478" t="str">
        <f t="shared" si="10"/>
        <v/>
      </c>
      <c r="AH30" s="443">
        <f t="shared" si="11"/>
        <v>2.9999999999996696</v>
      </c>
      <c r="AI30" s="441" t="str">
        <f t="shared" si="17"/>
        <v/>
      </c>
      <c r="AJ30" s="655" t="str">
        <f t="shared" si="18"/>
        <v/>
      </c>
      <c r="AM30" s="477" t="str" cm="1">
        <f t="array" ref="AM30">_xlfn.XLOOKUP("?*",U30:AA30&amp;"",$U$3:$AA$3,S30,2,-1)</f>
        <v>R4</v>
      </c>
      <c r="AN30" s="477" cm="1">
        <f t="array" ref="AN30">_xlfn.XLOOKUP("?*",U30:AA30&amp;"",U30:AA30,T30,2,-1)</f>
        <v>3.3919000000000001</v>
      </c>
      <c r="AO30" s="477" t="str" cm="1">
        <f t="array" ref="AO30">_xlfn.XLOOKUP("?*",U30:Z30&amp;"",$U$3:$Z$3,S30,2,-1)</f>
        <v>R4</v>
      </c>
      <c r="AP30" s="477" cm="1">
        <f t="array" ref="AP30">_xlfn.XLOOKUP("?*",U30:Z30&amp;"",U30:Z30,T30,2,-1)</f>
        <v>3.3919000000000001</v>
      </c>
      <c r="AQ30" s="477" t="str" cm="1">
        <f t="array" ref="AQ30">_xlfn.XLOOKUP("?*",U30:Y30&amp;"",$U$3:$Y$3,S30,2,-1)</f>
        <v>R4</v>
      </c>
      <c r="AR30" s="477" cm="1">
        <f t="array" ref="AR30">_xlfn.XLOOKUP("?*",U30:Y30&amp;"",U30:Y30,T30,2,-1)</f>
        <v>3.3919000000000001</v>
      </c>
      <c r="AS30" s="477" t="str" cm="1">
        <f t="array" ref="AS30">_xlfn.XLOOKUP("?*",U30:X30&amp;"",$U$3:$X$3,S30,2,-1)</f>
        <v>R1</v>
      </c>
      <c r="AT30" s="477" cm="1">
        <f t="array" ref="AT30">_xlfn.XLOOKUP("?*",U30:X30&amp;"",U30:X30,T30,2,-1)</f>
        <v>3.3948999999999998</v>
      </c>
      <c r="AU30" s="1" t="str">
        <f t="shared" si="12"/>
        <v>R1</v>
      </c>
      <c r="AV30" s="1">
        <f t="shared" si="13"/>
        <v>3.3948999999999998</v>
      </c>
      <c r="AW30" s="1" t="str">
        <f t="shared" si="14"/>
        <v>R1</v>
      </c>
      <c r="AX30" s="1">
        <f t="shared" si="15"/>
        <v>3.3948999999999998</v>
      </c>
    </row>
    <row r="31" spans="1:50" ht="16.5" customHeight="1">
      <c r="A31" s="10">
        <v>216</v>
      </c>
      <c r="B31" s="53" t="s">
        <v>397</v>
      </c>
      <c r="C31" s="10" t="s">
        <v>38</v>
      </c>
      <c r="D31" s="69" t="s">
        <v>1102</v>
      </c>
      <c r="E31" s="69" t="s">
        <v>699</v>
      </c>
      <c r="F31" s="70" t="s">
        <v>68</v>
      </c>
      <c r="G31" s="26" t="s">
        <v>9</v>
      </c>
      <c r="H31" s="8" t="s">
        <v>19</v>
      </c>
      <c r="I31" s="8" t="s">
        <v>541</v>
      </c>
      <c r="J31" s="8" t="s">
        <v>539</v>
      </c>
      <c r="K31" s="9" t="s">
        <v>265</v>
      </c>
      <c r="L31" s="30" t="s">
        <v>543</v>
      </c>
      <c r="M31" s="31">
        <v>3.6520999999999999</v>
      </c>
      <c r="N31" s="563" t="str" cm="1">
        <f t="array" ref="N31">_xlfn.XLOOKUP("?*",U31:Z31&amp;"",$U$3:$Z$3,S31,2,-1)</f>
        <v>R5</v>
      </c>
      <c r="O31" s="565" cm="1">
        <f t="array" ref="O31">_xlfn.XLOOKUP("?*",U31:Z31&amp;"",U31:Z31,T31,2,-1)</f>
        <v>3.8940999999999999</v>
      </c>
      <c r="P31" s="92"/>
      <c r="Q31" s="87"/>
      <c r="R31" s="1"/>
      <c r="S31" s="76" t="s">
        <v>1296</v>
      </c>
      <c r="T31" s="34">
        <v>3.9039000000000001</v>
      </c>
      <c r="U31" s="39"/>
      <c r="V31" s="40"/>
      <c r="W31" s="40"/>
      <c r="X31" s="40"/>
      <c r="Y31" s="40"/>
      <c r="Z31" s="40">
        <v>3.8940999999999999</v>
      </c>
      <c r="AA31" s="41"/>
      <c r="AB31" s="81"/>
      <c r="AC31" s="21"/>
      <c r="AD31" s="442" t="str">
        <f t="shared" si="8"/>
        <v/>
      </c>
      <c r="AE31" s="443" t="str">
        <f t="shared" si="9"/>
        <v/>
      </c>
      <c r="AF31" s="443" t="str">
        <f t="shared" si="16"/>
        <v/>
      </c>
      <c r="AG31" s="478" t="str">
        <f t="shared" si="10"/>
        <v/>
      </c>
      <c r="AH31" s="443" t="str">
        <f t="shared" si="11"/>
        <v/>
      </c>
      <c r="AI31" s="441">
        <f t="shared" si="17"/>
        <v>9.800000000000253</v>
      </c>
      <c r="AJ31" s="655" t="str">
        <f t="shared" si="18"/>
        <v/>
      </c>
      <c r="AM31" s="477" t="str" cm="1">
        <f t="array" ref="AM31">_xlfn.XLOOKUP("?*",U31:AA31&amp;"",$U$3:$AA$3,S31,2,-1)</f>
        <v>R5</v>
      </c>
      <c r="AN31" s="477" cm="1">
        <f t="array" ref="AN31">_xlfn.XLOOKUP("?*",U31:AA31&amp;"",U31:AA31,T31,2,-1)</f>
        <v>3.8940999999999999</v>
      </c>
      <c r="AO31" s="477" t="str" cm="1">
        <f t="array" ref="AO31">_xlfn.XLOOKUP("?*",U31:Z31&amp;"",$U$3:$Z$3,S31,2,-1)</f>
        <v>R5</v>
      </c>
      <c r="AP31" s="477" cm="1">
        <f t="array" ref="AP31">_xlfn.XLOOKUP("?*",U31:Z31&amp;"",U31:Z31,T31,2,-1)</f>
        <v>3.8940999999999999</v>
      </c>
      <c r="AQ31" s="477" t="str" cm="1">
        <f t="array" ref="AQ31">_xlfn.XLOOKUP("?*",U31:Y31&amp;"",$U$3:$Y$3,S31,2,-1)</f>
        <v>H29</v>
      </c>
      <c r="AR31" s="477" cm="1">
        <f t="array" ref="AR31">_xlfn.XLOOKUP("?*",U31:Y31&amp;"",U31:Y31,T31,2,-1)</f>
        <v>3.9039000000000001</v>
      </c>
      <c r="AS31" s="477" t="str" cm="1">
        <f t="array" ref="AS31">_xlfn.XLOOKUP("?*",U31:X31&amp;"",$U$3:$X$3,S31,2,-1)</f>
        <v>H29</v>
      </c>
      <c r="AT31" s="477" cm="1">
        <f t="array" ref="AT31">_xlfn.XLOOKUP("?*",U31:X31&amp;"",U31:X31,T31,2,-1)</f>
        <v>3.9039000000000001</v>
      </c>
      <c r="AU31" s="1" t="str">
        <f t="shared" si="12"/>
        <v>H29</v>
      </c>
      <c r="AV31" s="1">
        <f t="shared" si="13"/>
        <v>3.9039000000000001</v>
      </c>
      <c r="AW31" s="1" t="str">
        <f t="shared" si="14"/>
        <v>H29</v>
      </c>
      <c r="AX31" s="1">
        <f t="shared" si="15"/>
        <v>3.9039000000000001</v>
      </c>
    </row>
    <row r="32" spans="1:50" s="491" customFormat="1" ht="16.5" customHeight="1">
      <c r="A32" s="480">
        <v>217</v>
      </c>
      <c r="B32" s="481" t="s">
        <v>398</v>
      </c>
      <c r="C32" s="482" t="s">
        <v>38</v>
      </c>
      <c r="D32" s="483" t="s">
        <v>326</v>
      </c>
      <c r="E32" s="483" t="s">
        <v>1455</v>
      </c>
      <c r="F32" s="484" t="s">
        <v>299</v>
      </c>
      <c r="G32" s="485" t="s">
        <v>9</v>
      </c>
      <c r="H32" s="486" t="s">
        <v>10</v>
      </c>
      <c r="I32" s="486" t="s">
        <v>64</v>
      </c>
      <c r="J32" s="486" t="s">
        <v>54</v>
      </c>
      <c r="K32" s="487" t="s">
        <v>265</v>
      </c>
      <c r="L32" s="30"/>
      <c r="M32" s="31"/>
      <c r="N32" s="563" t="str" cm="1">
        <f t="array" ref="N32">_xlfn.XLOOKUP("?*",U32:Z32&amp;"",$U$3:$Z$3,S32,2,-1)</f>
        <v>-</v>
      </c>
      <c r="O32" s="565" t="str" cm="1">
        <f t="array" ref="O32">_xlfn.XLOOKUP("?*",U32:Z32&amp;"",U32:Z32,T32,2,-1)</f>
        <v>-</v>
      </c>
      <c r="P32" s="489"/>
      <c r="Q32" s="490"/>
      <c r="S32" s="492" t="s">
        <v>1354</v>
      </c>
      <c r="T32" s="493" t="s">
        <v>1354</v>
      </c>
      <c r="U32" s="494"/>
      <c r="V32" s="495"/>
      <c r="W32" s="495"/>
      <c r="X32" s="495"/>
      <c r="Y32" s="495"/>
      <c r="Z32" s="495"/>
      <c r="AA32" s="496"/>
      <c r="AB32" s="497"/>
      <c r="AC32" s="498"/>
      <c r="AD32" s="499" t="str">
        <f t="shared" ref="AD32" si="19">IF(U32="","",-(U32-T32)*1000)</f>
        <v/>
      </c>
      <c r="AE32" s="500" t="str">
        <f t="shared" ref="AE32" si="20">IF(V32="","",IF(U32="",-(V32-T32)*1000,-(V32-U32)*1000))</f>
        <v/>
      </c>
      <c r="AF32" s="500" t="str">
        <f t="shared" si="16"/>
        <v/>
      </c>
      <c r="AG32" s="501" t="str">
        <f t="shared" si="10"/>
        <v/>
      </c>
      <c r="AH32" s="443" t="str">
        <f t="shared" si="11"/>
        <v/>
      </c>
      <c r="AI32" s="441" t="str">
        <f t="shared" si="17"/>
        <v/>
      </c>
      <c r="AJ32" s="655" t="str">
        <f t="shared" si="18"/>
        <v/>
      </c>
      <c r="AM32" s="477" t="str" cm="1">
        <f t="array" ref="AM32">_xlfn.XLOOKUP("?*",U32:AA32&amp;"",$U$3:$AA$3,S32,2,-1)</f>
        <v>-</v>
      </c>
      <c r="AN32" s="477" t="str" cm="1">
        <f t="array" ref="AN32">_xlfn.XLOOKUP("?*",U32:AA32&amp;"",U32:AA32,T32,2,-1)</f>
        <v>-</v>
      </c>
      <c r="AO32" s="477" t="str" cm="1">
        <f t="array" ref="AO32">_xlfn.XLOOKUP("?*",U32:Z32&amp;"",$U$3:$Z$3,S32,2,-1)</f>
        <v>-</v>
      </c>
      <c r="AP32" s="477" t="str" cm="1">
        <f t="array" ref="AP32">_xlfn.XLOOKUP("?*",U32:Z32&amp;"",U32:Z32,T32,2,-1)</f>
        <v>-</v>
      </c>
      <c r="AQ32" s="477" t="str" cm="1">
        <f t="array" ref="AQ32">_xlfn.XLOOKUP("?*",U32:Y32&amp;"",$U$3:$Y$3,S32,2,-1)</f>
        <v>-</v>
      </c>
      <c r="AR32" s="477" t="str" cm="1">
        <f t="array" ref="AR32">_xlfn.XLOOKUP("?*",U32:Y32&amp;"",U32:Y32,T32,2,-1)</f>
        <v>-</v>
      </c>
      <c r="AS32" s="477" t="str" cm="1">
        <f t="array" ref="AS32">_xlfn.XLOOKUP("?*",U32:X32&amp;"",$U$3:$X$3,S32,2,-1)</f>
        <v>-</v>
      </c>
      <c r="AT32" s="477" t="str" cm="1">
        <f t="array" ref="AT32">_xlfn.XLOOKUP("?*",U32:X32&amp;"",U32:X32,T32,2,-1)</f>
        <v>-</v>
      </c>
      <c r="AU32" s="491" t="str">
        <f t="shared" si="12"/>
        <v>-</v>
      </c>
      <c r="AV32" s="491" t="str">
        <f t="shared" si="13"/>
        <v>-</v>
      </c>
      <c r="AW32" s="491" t="str">
        <f t="shared" si="14"/>
        <v>-</v>
      </c>
      <c r="AX32" s="491" t="str">
        <f t="shared" si="15"/>
        <v>-</v>
      </c>
    </row>
    <row r="33" spans="1:50" ht="17.100000000000001" customHeight="1">
      <c r="A33" s="10">
        <v>218</v>
      </c>
      <c r="B33" s="53" t="s">
        <v>592</v>
      </c>
      <c r="C33" s="10" t="s">
        <v>38</v>
      </c>
      <c r="D33" s="69" t="s">
        <v>1483</v>
      </c>
      <c r="E33" s="69" t="s">
        <v>1456</v>
      </c>
      <c r="F33" s="70" t="s">
        <v>69</v>
      </c>
      <c r="G33" s="26" t="s">
        <v>70</v>
      </c>
      <c r="H33" s="8" t="s">
        <v>19</v>
      </c>
      <c r="I33" s="8" t="s">
        <v>64</v>
      </c>
      <c r="J33" s="8" t="s">
        <v>539</v>
      </c>
      <c r="K33" s="9" t="s">
        <v>265</v>
      </c>
      <c r="L33" s="30" t="s">
        <v>543</v>
      </c>
      <c r="M33" s="31">
        <v>3.0802</v>
      </c>
      <c r="N33" s="563" t="str" cm="1">
        <f t="array" ref="N33">_xlfn.XLOOKUP("?*",U33:Z33&amp;"",$U$3:$Z$3,S33,2,-1)</f>
        <v>R5</v>
      </c>
      <c r="O33" s="565" cm="1">
        <f t="array" ref="O33">_xlfn.XLOOKUP("?*",U33:Z33&amp;"",U33:Z33,T33,2,-1)</f>
        <v>2.9409000000000001</v>
      </c>
      <c r="P33" s="92"/>
      <c r="Q33" s="87"/>
      <c r="R33" s="1"/>
      <c r="S33" s="76" t="s">
        <v>1296</v>
      </c>
      <c r="T33" s="34">
        <v>2.9491999999999998</v>
      </c>
      <c r="U33" s="39"/>
      <c r="V33" s="40"/>
      <c r="W33" s="40"/>
      <c r="X33" s="40"/>
      <c r="Y33" s="40"/>
      <c r="Z33" s="40">
        <v>2.9409000000000001</v>
      </c>
      <c r="AA33" s="41"/>
      <c r="AB33" s="81"/>
      <c r="AC33" s="21"/>
      <c r="AD33" s="442" t="str">
        <f t="shared" si="8"/>
        <v/>
      </c>
      <c r="AE33" s="443" t="str">
        <f t="shared" si="9"/>
        <v/>
      </c>
      <c r="AF33" s="443" t="str">
        <f t="shared" si="16"/>
        <v/>
      </c>
      <c r="AG33" s="478" t="str">
        <f t="shared" si="10"/>
        <v/>
      </c>
      <c r="AH33" s="443" t="str">
        <f t="shared" si="11"/>
        <v/>
      </c>
      <c r="AI33" s="441">
        <f t="shared" si="17"/>
        <v>8.299999999999752</v>
      </c>
      <c r="AJ33" s="655" t="str">
        <f t="shared" si="18"/>
        <v/>
      </c>
      <c r="AM33" s="477" t="str" cm="1">
        <f t="array" ref="AM33">_xlfn.XLOOKUP("?*",U33:AA33&amp;"",$U$3:$AA$3,S33,2,-1)</f>
        <v>R5</v>
      </c>
      <c r="AN33" s="477" cm="1">
        <f t="array" ref="AN33">_xlfn.XLOOKUP("?*",U33:AA33&amp;"",U33:AA33,T33,2,-1)</f>
        <v>2.9409000000000001</v>
      </c>
      <c r="AO33" s="477" t="str" cm="1">
        <f t="array" ref="AO33">_xlfn.XLOOKUP("?*",U33:Z33&amp;"",$U$3:$Z$3,S33,2,-1)</f>
        <v>R5</v>
      </c>
      <c r="AP33" s="477" cm="1">
        <f t="array" ref="AP33">_xlfn.XLOOKUP("?*",U33:Z33&amp;"",U33:Z33,T33,2,-1)</f>
        <v>2.9409000000000001</v>
      </c>
      <c r="AQ33" s="477" t="str" cm="1">
        <f t="array" ref="AQ33">_xlfn.XLOOKUP("?*",U33:Y33&amp;"",$U$3:$Y$3,S33,2,-1)</f>
        <v>H29</v>
      </c>
      <c r="AR33" s="477" cm="1">
        <f t="array" ref="AR33">_xlfn.XLOOKUP("?*",U33:Y33&amp;"",U33:Y33,T33,2,-1)</f>
        <v>2.9491999999999998</v>
      </c>
      <c r="AS33" s="477" t="str" cm="1">
        <f t="array" ref="AS33">_xlfn.XLOOKUP("?*",U33:X33&amp;"",$U$3:$X$3,S33,2,-1)</f>
        <v>H29</v>
      </c>
      <c r="AT33" s="477" cm="1">
        <f t="array" ref="AT33">_xlfn.XLOOKUP("?*",U33:X33&amp;"",U33:X33,T33,2,-1)</f>
        <v>2.9491999999999998</v>
      </c>
      <c r="AU33" s="1" t="str">
        <f t="shared" si="12"/>
        <v>H29</v>
      </c>
      <c r="AV33" s="1">
        <f t="shared" si="13"/>
        <v>2.9491999999999998</v>
      </c>
      <c r="AW33" s="1" t="str">
        <f t="shared" si="14"/>
        <v>H29</v>
      </c>
      <c r="AX33" s="1">
        <f t="shared" si="15"/>
        <v>2.9491999999999998</v>
      </c>
    </row>
    <row r="34" spans="1:50" ht="17.100000000000001" customHeight="1">
      <c r="A34" s="10">
        <v>219</v>
      </c>
      <c r="B34" s="592">
        <v>8415</v>
      </c>
      <c r="C34" s="10" t="s">
        <v>38</v>
      </c>
      <c r="D34" s="69" t="s">
        <v>709</v>
      </c>
      <c r="E34" s="69" t="s">
        <v>709</v>
      </c>
      <c r="F34" s="70" t="s">
        <v>1408</v>
      </c>
      <c r="G34" s="26" t="s">
        <v>12</v>
      </c>
      <c r="H34" s="8" t="s">
        <v>73</v>
      </c>
      <c r="I34" s="8" t="s">
        <v>541</v>
      </c>
      <c r="J34" s="8" t="s">
        <v>539</v>
      </c>
      <c r="K34" s="9" t="s">
        <v>265</v>
      </c>
      <c r="L34" s="30" t="s">
        <v>543</v>
      </c>
      <c r="M34" s="31">
        <v>7.3792</v>
      </c>
      <c r="N34" s="563" t="str" cm="1">
        <f t="array" ref="N34">_xlfn.XLOOKUP("?*",U34:Z34&amp;"",$U$3:$Z$3,S34,2,-1)</f>
        <v>R4</v>
      </c>
      <c r="O34" s="565" cm="1">
        <f t="array" ref="O34">_xlfn.XLOOKUP("?*",U34:Z34&amp;"",U34:Z34,T34,2,-1)</f>
        <v>7.2664</v>
      </c>
      <c r="P34" s="92"/>
      <c r="Q34" s="88"/>
      <c r="R34" s="1"/>
      <c r="S34" s="76" t="s">
        <v>1299</v>
      </c>
      <c r="T34" s="35">
        <v>7.2735000000000003</v>
      </c>
      <c r="U34" s="42"/>
      <c r="V34" s="43">
        <v>7.2720000000000002</v>
      </c>
      <c r="W34" s="43"/>
      <c r="X34" s="43"/>
      <c r="Y34" s="43">
        <v>7.2664</v>
      </c>
      <c r="Z34" s="43"/>
      <c r="AA34" s="44"/>
      <c r="AB34" s="81"/>
      <c r="AC34" s="22"/>
      <c r="AD34" s="444" t="str">
        <f t="shared" si="8"/>
        <v/>
      </c>
      <c r="AE34" s="441">
        <f t="shared" si="9"/>
        <v>1.5000000000000568</v>
      </c>
      <c r="AF34" s="441" t="str">
        <f t="shared" si="16"/>
        <v/>
      </c>
      <c r="AG34" s="478" t="str">
        <f t="shared" si="10"/>
        <v/>
      </c>
      <c r="AH34" s="443">
        <f t="shared" si="11"/>
        <v>5.6000000000002714</v>
      </c>
      <c r="AI34" s="441" t="str">
        <f t="shared" si="17"/>
        <v/>
      </c>
      <c r="AJ34" s="655" t="str">
        <f t="shared" si="18"/>
        <v/>
      </c>
      <c r="AM34" s="477" t="str" cm="1">
        <f t="array" ref="AM34">_xlfn.XLOOKUP("?*",U34:AA34&amp;"",$U$3:$AA$3,S34,2,-1)</f>
        <v>R4</v>
      </c>
      <c r="AN34" s="477" cm="1">
        <f t="array" ref="AN34">_xlfn.XLOOKUP("?*",U34:AA34&amp;"",U34:AA34,T34,2,-1)</f>
        <v>7.2664</v>
      </c>
      <c r="AO34" s="477" t="str" cm="1">
        <f t="array" ref="AO34">_xlfn.XLOOKUP("?*",U34:Z34&amp;"",$U$3:$Z$3,S34,2,-1)</f>
        <v>R4</v>
      </c>
      <c r="AP34" s="477" cm="1">
        <f t="array" ref="AP34">_xlfn.XLOOKUP("?*",U34:Z34&amp;"",U34:Z34,T34,2,-1)</f>
        <v>7.2664</v>
      </c>
      <c r="AQ34" s="477" t="str" cm="1">
        <f t="array" ref="AQ34">_xlfn.XLOOKUP("?*",U34:Y34&amp;"",$U$3:$Y$3,S34,2,-1)</f>
        <v>R4</v>
      </c>
      <c r="AR34" s="477" cm="1">
        <f t="array" ref="AR34">_xlfn.XLOOKUP("?*",U34:Y34&amp;"",U34:Y34,T34,2,-1)</f>
        <v>7.2664</v>
      </c>
      <c r="AS34" s="477" t="str" cm="1">
        <f t="array" ref="AS34">_xlfn.XLOOKUP("?*",U34:X34&amp;"",$U$3:$X$3,S34,2,-1)</f>
        <v>R1</v>
      </c>
      <c r="AT34" s="477" cm="1">
        <f t="array" ref="AT34">_xlfn.XLOOKUP("?*",U34:X34&amp;"",U34:X34,T34,2,-1)</f>
        <v>7.2720000000000002</v>
      </c>
      <c r="AU34" s="1" t="str">
        <f t="shared" si="12"/>
        <v>R1</v>
      </c>
      <c r="AV34" s="1">
        <f t="shared" si="13"/>
        <v>7.2720000000000002</v>
      </c>
      <c r="AW34" s="1" t="str">
        <f t="shared" si="14"/>
        <v>R1</v>
      </c>
      <c r="AX34" s="1">
        <f t="shared" si="15"/>
        <v>7.2720000000000002</v>
      </c>
    </row>
    <row r="35" spans="1:50" ht="17.100000000000001" customHeight="1">
      <c r="A35" s="10">
        <v>220</v>
      </c>
      <c r="B35" s="592">
        <v>8416</v>
      </c>
      <c r="C35" s="10" t="s">
        <v>38</v>
      </c>
      <c r="D35" s="69" t="s">
        <v>667</v>
      </c>
      <c r="E35" s="69" t="s">
        <v>667</v>
      </c>
      <c r="F35" s="70" t="s">
        <v>1409</v>
      </c>
      <c r="G35" s="26" t="s">
        <v>12</v>
      </c>
      <c r="H35" s="8" t="s">
        <v>19</v>
      </c>
      <c r="I35" s="8" t="s">
        <v>541</v>
      </c>
      <c r="J35" s="8" t="s">
        <v>54</v>
      </c>
      <c r="K35" s="9" t="s">
        <v>265</v>
      </c>
      <c r="L35" s="30" t="s">
        <v>543</v>
      </c>
      <c r="M35" s="31">
        <v>2.2170000000000001</v>
      </c>
      <c r="N35" s="563" t="str" cm="1">
        <f t="array" ref="N35">_xlfn.XLOOKUP("?*",U35:Z35&amp;"",$U$3:$Z$3,S35,2,-1)</f>
        <v>R5</v>
      </c>
      <c r="O35" s="565" cm="1">
        <f t="array" ref="O35">_xlfn.XLOOKUP("?*",U35:Z35&amp;"",U35:Z35,T35,2,-1)</f>
        <v>2.0078999999999998</v>
      </c>
      <c r="P35" s="93"/>
      <c r="Q35" s="88"/>
      <c r="R35" s="1"/>
      <c r="S35" s="77" t="s">
        <v>1296</v>
      </c>
      <c r="T35" s="35">
        <v>2.0457000000000001</v>
      </c>
      <c r="U35" s="42"/>
      <c r="V35" s="43"/>
      <c r="W35" s="43"/>
      <c r="X35" s="43"/>
      <c r="Y35" s="43"/>
      <c r="Z35" s="43">
        <v>2.0078999999999998</v>
      </c>
      <c r="AA35" s="44"/>
      <c r="AB35" s="82"/>
      <c r="AC35" s="22"/>
      <c r="AD35" s="444" t="str">
        <f t="shared" si="8"/>
        <v/>
      </c>
      <c r="AE35" s="441" t="str">
        <f t="shared" si="9"/>
        <v/>
      </c>
      <c r="AF35" s="441" t="str">
        <f t="shared" si="16"/>
        <v/>
      </c>
      <c r="AG35" s="478" t="str">
        <f t="shared" si="10"/>
        <v/>
      </c>
      <c r="AH35" s="443" t="str">
        <f t="shared" si="11"/>
        <v/>
      </c>
      <c r="AI35" s="441">
        <f>IF(Z35="","",($AP35-$AR35)*(-1000))</f>
        <v>37.800000000000281</v>
      </c>
      <c r="AJ35" s="655" t="str">
        <f t="shared" si="18"/>
        <v/>
      </c>
      <c r="AM35" s="477" t="str" cm="1">
        <f t="array" ref="AM35">_xlfn.XLOOKUP("?*",U35:AA35&amp;"",$U$3:$AA$3,S35,2,-1)</f>
        <v>R5</v>
      </c>
      <c r="AN35" s="477" cm="1">
        <f t="array" ref="AN35">_xlfn.XLOOKUP("?*",U35:AA35&amp;"",U35:AA35,T35,2,-1)</f>
        <v>2.0078999999999998</v>
      </c>
      <c r="AO35" s="477" t="str" cm="1">
        <f t="array" ref="AO35">_xlfn.XLOOKUP("?*",U35:Z35&amp;"",$U$3:$Z$3,S35,2,-1)</f>
        <v>R5</v>
      </c>
      <c r="AP35" s="477" cm="1">
        <f t="array" ref="AP35">_xlfn.XLOOKUP("?*",U35:Z35&amp;"",U35:Z35,T35,2,-1)</f>
        <v>2.0078999999999998</v>
      </c>
      <c r="AQ35" s="477" t="str" cm="1">
        <f t="array" ref="AQ35">_xlfn.XLOOKUP("?*",U35:Y35&amp;"",$U$3:$Y$3,S35,2,-1)</f>
        <v>H29</v>
      </c>
      <c r="AR35" s="477" cm="1">
        <f t="array" ref="AR35">_xlfn.XLOOKUP("?*",U35:Y35&amp;"",U35:Y35,T35,2,-1)</f>
        <v>2.0457000000000001</v>
      </c>
      <c r="AS35" s="477" t="str" cm="1">
        <f t="array" ref="AS35">_xlfn.XLOOKUP("?*",U35:X35&amp;"",$U$3:$X$3,S35,2,-1)</f>
        <v>H29</v>
      </c>
      <c r="AT35" s="477" cm="1">
        <f t="array" ref="AT35">_xlfn.XLOOKUP("?*",U35:X35&amp;"",U35:X35,T35,2,-1)</f>
        <v>2.0457000000000001</v>
      </c>
      <c r="AU35" s="1" t="str">
        <f t="shared" si="12"/>
        <v>H29</v>
      </c>
      <c r="AV35" s="1">
        <f t="shared" si="13"/>
        <v>2.0457000000000001</v>
      </c>
      <c r="AW35" s="1" t="str">
        <f t="shared" si="14"/>
        <v>H29</v>
      </c>
      <c r="AX35" s="1">
        <f t="shared" si="15"/>
        <v>2.0457000000000001</v>
      </c>
    </row>
    <row r="36" spans="1:50" ht="17.100000000000001" customHeight="1">
      <c r="A36" s="10">
        <v>221</v>
      </c>
      <c r="B36" s="592">
        <v>8417</v>
      </c>
      <c r="C36" s="10" t="s">
        <v>38</v>
      </c>
      <c r="D36" s="69" t="s">
        <v>681</v>
      </c>
      <c r="E36" s="69" t="s">
        <v>681</v>
      </c>
      <c r="F36" s="70" t="s">
        <v>1410</v>
      </c>
      <c r="G36" s="26" t="s">
        <v>12</v>
      </c>
      <c r="H36" s="8" t="s">
        <v>10</v>
      </c>
      <c r="I36" s="8" t="s">
        <v>541</v>
      </c>
      <c r="J36" s="8" t="s">
        <v>539</v>
      </c>
      <c r="K36" s="9" t="s">
        <v>265</v>
      </c>
      <c r="L36" s="30" t="s">
        <v>543</v>
      </c>
      <c r="M36" s="31">
        <v>4.2304000000000004</v>
      </c>
      <c r="N36" s="563" t="str" cm="1">
        <f t="array" ref="N36">_xlfn.XLOOKUP("?*",U36:Z36&amp;"",$U$3:$Z$3,S36,2,-1)</f>
        <v>R5</v>
      </c>
      <c r="O36" s="565" cm="1">
        <f t="array" ref="O36">_xlfn.XLOOKUP("?*",U36:Z36&amp;"",U36:Z36,T36,2,-1)</f>
        <v>4.0772000000000004</v>
      </c>
      <c r="P36" s="93"/>
      <c r="Q36" s="88"/>
      <c r="R36" s="1"/>
      <c r="S36" s="77" t="s">
        <v>1299</v>
      </c>
      <c r="T36" s="35">
        <v>4.0930999999999997</v>
      </c>
      <c r="U36" s="42"/>
      <c r="V36" s="43"/>
      <c r="W36" s="43"/>
      <c r="X36" s="43"/>
      <c r="Y36" s="43"/>
      <c r="Z36" s="43">
        <v>4.0772000000000004</v>
      </c>
      <c r="AA36" s="44"/>
      <c r="AB36" s="82"/>
      <c r="AC36" s="22"/>
      <c r="AD36" s="444" t="str">
        <f t="shared" si="8"/>
        <v/>
      </c>
      <c r="AE36" s="441" t="str">
        <f t="shared" si="9"/>
        <v/>
      </c>
      <c r="AF36" s="441" t="str">
        <f t="shared" si="16"/>
        <v/>
      </c>
      <c r="AG36" s="478" t="str">
        <f t="shared" si="10"/>
        <v/>
      </c>
      <c r="AH36" s="443" t="str">
        <f t="shared" si="11"/>
        <v/>
      </c>
      <c r="AI36" s="441">
        <f t="shared" si="17"/>
        <v>15.899999999999359</v>
      </c>
      <c r="AJ36" s="655" t="str">
        <f t="shared" si="18"/>
        <v/>
      </c>
      <c r="AM36" s="477" t="str" cm="1">
        <f t="array" ref="AM36">_xlfn.XLOOKUP("?*",U36:AA36&amp;"",$U$3:$AA$3,S36,2,-1)</f>
        <v>R5</v>
      </c>
      <c r="AN36" s="477" cm="1">
        <f t="array" ref="AN36">_xlfn.XLOOKUP("?*",U36:AA36&amp;"",U36:AA36,T36,2,-1)</f>
        <v>4.0772000000000004</v>
      </c>
      <c r="AO36" s="477" t="str" cm="1">
        <f t="array" ref="AO36">_xlfn.XLOOKUP("?*",U36:Z36&amp;"",$U$3:$Z$3,S36,2,-1)</f>
        <v>R5</v>
      </c>
      <c r="AP36" s="477" cm="1">
        <f t="array" ref="AP36">_xlfn.XLOOKUP("?*",U36:Z36&amp;"",U36:Z36,T36,2,-1)</f>
        <v>4.0772000000000004</v>
      </c>
      <c r="AQ36" s="477" t="str" cm="1">
        <f t="array" ref="AQ36">_xlfn.XLOOKUP("?*",U36:Y36&amp;"",$U$3:$Y$3,S36,2,-1)</f>
        <v>H29</v>
      </c>
      <c r="AR36" s="477" cm="1">
        <f t="array" ref="AR36">_xlfn.XLOOKUP("?*",U36:Y36&amp;"",U36:Y36,T36,2,-1)</f>
        <v>4.0930999999999997</v>
      </c>
      <c r="AS36" s="477" t="str" cm="1">
        <f t="array" ref="AS36">_xlfn.XLOOKUP("?*",U36:X36&amp;"",$U$3:$X$3,S36,2,-1)</f>
        <v>H29</v>
      </c>
      <c r="AT36" s="477" cm="1">
        <f t="array" ref="AT36">_xlfn.XLOOKUP("?*",U36:X36&amp;"",U36:X36,T36,2,-1)</f>
        <v>4.0930999999999997</v>
      </c>
      <c r="AU36" s="1" t="str">
        <f t="shared" si="12"/>
        <v>H29</v>
      </c>
      <c r="AV36" s="1">
        <f t="shared" si="13"/>
        <v>4.0930999999999997</v>
      </c>
      <c r="AW36" s="1" t="str">
        <f t="shared" si="14"/>
        <v>H29</v>
      </c>
      <c r="AX36" s="1">
        <f t="shared" si="15"/>
        <v>4.0930999999999997</v>
      </c>
    </row>
    <row r="37" spans="1:50" ht="17.100000000000001" customHeight="1">
      <c r="A37" s="10">
        <v>222</v>
      </c>
      <c r="B37" s="53" t="s">
        <v>425</v>
      </c>
      <c r="C37" s="10" t="s">
        <v>38</v>
      </c>
      <c r="D37" s="69" t="s">
        <v>567</v>
      </c>
      <c r="E37" s="69" t="s">
        <v>567</v>
      </c>
      <c r="F37" s="70" t="s">
        <v>79</v>
      </c>
      <c r="G37" s="26" t="s">
        <v>9</v>
      </c>
      <c r="H37" s="8" t="s">
        <v>10</v>
      </c>
      <c r="I37" s="8" t="s">
        <v>541</v>
      </c>
      <c r="J37" s="8" t="s">
        <v>54</v>
      </c>
      <c r="K37" s="9" t="s">
        <v>265</v>
      </c>
      <c r="L37" s="30" t="s">
        <v>543</v>
      </c>
      <c r="M37" s="31">
        <v>2.3515999999999999</v>
      </c>
      <c r="N37" s="563" t="str" cm="1">
        <f t="array" ref="N37">_xlfn.XLOOKUP("?*",U37:Z37&amp;"",$U$3:$Z$3,S37,2,-1)</f>
        <v>R5</v>
      </c>
      <c r="O37" s="565" cm="1">
        <f t="array" ref="O37">_xlfn.XLOOKUP("?*",U37:Z37&amp;"",U37:Z37,T37,2,-1)</f>
        <v>2.2166000000000001</v>
      </c>
      <c r="P37" s="93"/>
      <c r="Q37" s="88"/>
      <c r="R37" s="1"/>
      <c r="S37" s="77" t="s">
        <v>1299</v>
      </c>
      <c r="T37" s="35">
        <v>2.2286000000000001</v>
      </c>
      <c r="U37" s="42"/>
      <c r="V37" s="43"/>
      <c r="W37" s="43"/>
      <c r="X37" s="43"/>
      <c r="Y37" s="43"/>
      <c r="Z37" s="43">
        <v>2.2166000000000001</v>
      </c>
      <c r="AA37" s="44"/>
      <c r="AB37" s="82"/>
      <c r="AC37" s="22"/>
      <c r="AD37" s="444" t="str">
        <f t="shared" si="8"/>
        <v/>
      </c>
      <c r="AE37" s="441" t="str">
        <f t="shared" si="9"/>
        <v/>
      </c>
      <c r="AF37" s="441" t="str">
        <f t="shared" si="16"/>
        <v/>
      </c>
      <c r="AG37" s="478" t="str">
        <f t="shared" ref="AG37:AG68" si="21">IF(X37="","",($AT37-$AV37)*(-1000))</f>
        <v/>
      </c>
      <c r="AH37" s="443" t="str">
        <f t="shared" ref="AH37:AH68" si="22">IF(Y37="","",($AR37-$AT37)*(-1000))</f>
        <v/>
      </c>
      <c r="AI37" s="441">
        <f t="shared" si="17"/>
        <v>12.000000000000011</v>
      </c>
      <c r="AJ37" s="655" t="str">
        <f t="shared" si="18"/>
        <v/>
      </c>
      <c r="AM37" s="477" t="str" cm="1">
        <f t="array" ref="AM37">_xlfn.XLOOKUP("?*",U37:AA37&amp;"",$U$3:$AA$3,S37,2,-1)</f>
        <v>R5</v>
      </c>
      <c r="AN37" s="477" cm="1">
        <f t="array" ref="AN37">_xlfn.XLOOKUP("?*",U37:AA37&amp;"",U37:AA37,T37,2,-1)</f>
        <v>2.2166000000000001</v>
      </c>
      <c r="AO37" s="477" t="str" cm="1">
        <f t="array" ref="AO37">_xlfn.XLOOKUP("?*",U37:Z37&amp;"",$U$3:$Z$3,S37,2,-1)</f>
        <v>R5</v>
      </c>
      <c r="AP37" s="477" cm="1">
        <f t="array" ref="AP37">_xlfn.XLOOKUP("?*",U37:Z37&amp;"",U37:Z37,T37,2,-1)</f>
        <v>2.2166000000000001</v>
      </c>
      <c r="AQ37" s="477" t="str" cm="1">
        <f t="array" ref="AQ37">_xlfn.XLOOKUP("?*",U37:Y37&amp;"",$U$3:$Y$3,S37,2,-1)</f>
        <v>H29</v>
      </c>
      <c r="AR37" s="477" cm="1">
        <f t="array" ref="AR37">_xlfn.XLOOKUP("?*",U37:Y37&amp;"",U37:Y37,T37,2,-1)</f>
        <v>2.2286000000000001</v>
      </c>
      <c r="AS37" s="477" t="str" cm="1">
        <f t="array" ref="AS37">_xlfn.XLOOKUP("?*",U37:X37&amp;"",$U$3:$X$3,S37,2,-1)</f>
        <v>H29</v>
      </c>
      <c r="AT37" s="477" cm="1">
        <f t="array" ref="AT37">_xlfn.XLOOKUP("?*",U37:X37&amp;"",U37:X37,T37,2,-1)</f>
        <v>2.2286000000000001</v>
      </c>
      <c r="AU37" s="1" t="str">
        <f t="shared" ref="AU37:AU68" si="23">IF(W37="",IF(V37="",IF(U37="",$S37,$U$3),$V$3),$W$3)</f>
        <v>H29</v>
      </c>
      <c r="AV37" s="1">
        <f t="shared" ref="AV37:AV68" si="24">IF(W37="",IF(V37="",IF(U37="",T37,U37),V37),W37)</f>
        <v>2.2286000000000001</v>
      </c>
      <c r="AW37" s="1" t="str">
        <f t="shared" ref="AW37:AW68" si="25">IF(V37="",IF(U37="",$S37,$U$3),$V$3)</f>
        <v>H29</v>
      </c>
      <c r="AX37" s="1">
        <f t="shared" ref="AX37:AX68" si="26">IF(V37="",IF(U37="",T37,U37),V37)</f>
        <v>2.2286000000000001</v>
      </c>
    </row>
    <row r="38" spans="1:50" ht="17.100000000000001" customHeight="1">
      <c r="A38" s="10">
        <v>223</v>
      </c>
      <c r="B38" s="53" t="s">
        <v>593</v>
      </c>
      <c r="C38" s="10" t="s">
        <v>38</v>
      </c>
      <c r="D38" s="69" t="s">
        <v>568</v>
      </c>
      <c r="E38" s="69" t="s">
        <v>568</v>
      </c>
      <c r="F38" s="70" t="s">
        <v>81</v>
      </c>
      <c r="G38" s="26" t="s">
        <v>9</v>
      </c>
      <c r="H38" s="8" t="s">
        <v>10</v>
      </c>
      <c r="I38" s="8" t="s">
        <v>541</v>
      </c>
      <c r="J38" s="8" t="s">
        <v>539</v>
      </c>
      <c r="K38" s="9" t="s">
        <v>270</v>
      </c>
      <c r="L38" s="30" t="s">
        <v>543</v>
      </c>
      <c r="M38" s="31">
        <v>2.0682</v>
      </c>
      <c r="N38" s="563" t="str" cm="1">
        <f t="array" ref="N38">_xlfn.XLOOKUP("?*",U38:Z38&amp;"",$U$3:$Z$3,S38,2,-1)</f>
        <v>R5</v>
      </c>
      <c r="O38" s="565" cm="1">
        <f t="array" ref="O38">_xlfn.XLOOKUP("?*",U38:Z38&amp;"",U38:Z38,T38,2,-1)</f>
        <v>1.9367000000000001</v>
      </c>
      <c r="P38" s="93"/>
      <c r="Q38" s="88"/>
      <c r="R38" s="1"/>
      <c r="S38" s="77" t="s">
        <v>1296</v>
      </c>
      <c r="T38" s="35">
        <v>1.9446000000000001</v>
      </c>
      <c r="U38" s="42"/>
      <c r="V38" s="43"/>
      <c r="W38" s="43"/>
      <c r="X38" s="43"/>
      <c r="Y38" s="43"/>
      <c r="Z38" s="43">
        <v>1.9367000000000001</v>
      </c>
      <c r="AA38" s="44"/>
      <c r="AB38" s="82"/>
      <c r="AC38" s="22"/>
      <c r="AD38" s="444" t="str">
        <f t="shared" ref="AD38:AD73" si="27">IF(U38="","",-(U38-T38)*1000)</f>
        <v/>
      </c>
      <c r="AE38" s="441" t="str">
        <f t="shared" ref="AE38:AE73" si="28">IF(V38="","",IF(U38="",-(V38-T38)*1000,-(V38-U38)*1000))</f>
        <v/>
      </c>
      <c r="AF38" s="441" t="str">
        <f t="shared" si="16"/>
        <v/>
      </c>
      <c r="AG38" s="478" t="str">
        <f t="shared" si="21"/>
        <v/>
      </c>
      <c r="AH38" s="443" t="str">
        <f t="shared" si="22"/>
        <v/>
      </c>
      <c r="AI38" s="441">
        <f t="shared" si="17"/>
        <v>7.9000000000000181</v>
      </c>
      <c r="AJ38" s="655" t="str">
        <f t="shared" si="18"/>
        <v/>
      </c>
      <c r="AM38" s="477" t="str" cm="1">
        <f t="array" ref="AM38">_xlfn.XLOOKUP("?*",U38:AA38&amp;"",$U$3:$AA$3,S38,2,-1)</f>
        <v>R5</v>
      </c>
      <c r="AN38" s="477" cm="1">
        <f t="array" ref="AN38">_xlfn.XLOOKUP("?*",U38:AA38&amp;"",U38:AA38,T38,2,-1)</f>
        <v>1.9367000000000001</v>
      </c>
      <c r="AO38" s="477" t="str" cm="1">
        <f t="array" ref="AO38">_xlfn.XLOOKUP("?*",U38:Z38&amp;"",$U$3:$Z$3,S38,2,-1)</f>
        <v>R5</v>
      </c>
      <c r="AP38" s="477" cm="1">
        <f t="array" ref="AP38">_xlfn.XLOOKUP("?*",U38:Z38&amp;"",U38:Z38,T38,2,-1)</f>
        <v>1.9367000000000001</v>
      </c>
      <c r="AQ38" s="477" t="str" cm="1">
        <f t="array" ref="AQ38">_xlfn.XLOOKUP("?*",U38:Y38&amp;"",$U$3:$Y$3,S38,2,-1)</f>
        <v>H29</v>
      </c>
      <c r="AR38" s="477" cm="1">
        <f t="array" ref="AR38">_xlfn.XLOOKUP("?*",U38:Y38&amp;"",U38:Y38,T38,2,-1)</f>
        <v>1.9446000000000001</v>
      </c>
      <c r="AS38" s="477" t="str" cm="1">
        <f t="array" ref="AS38">_xlfn.XLOOKUP("?*",U38:X38&amp;"",$U$3:$X$3,S38,2,-1)</f>
        <v>H29</v>
      </c>
      <c r="AT38" s="477" cm="1">
        <f t="array" ref="AT38">_xlfn.XLOOKUP("?*",U38:X38&amp;"",U38:X38,T38,2,-1)</f>
        <v>1.9446000000000001</v>
      </c>
      <c r="AU38" s="1" t="str">
        <f t="shared" si="23"/>
        <v>H29</v>
      </c>
      <c r="AV38" s="1">
        <f t="shared" si="24"/>
        <v>1.9446000000000001</v>
      </c>
      <c r="AW38" s="1" t="str">
        <f t="shared" si="25"/>
        <v>H29</v>
      </c>
      <c r="AX38" s="1">
        <f t="shared" si="26"/>
        <v>1.9446000000000001</v>
      </c>
    </row>
    <row r="39" spans="1:50" ht="17.100000000000001" customHeight="1">
      <c r="A39" s="10">
        <v>224</v>
      </c>
      <c r="B39" s="53" t="s">
        <v>594</v>
      </c>
      <c r="C39" s="10" t="s">
        <v>38</v>
      </c>
      <c r="D39" s="69" t="s">
        <v>715</v>
      </c>
      <c r="E39" s="69" t="s">
        <v>715</v>
      </c>
      <c r="F39" s="70" t="s">
        <v>83</v>
      </c>
      <c r="G39" s="26" t="s">
        <v>9</v>
      </c>
      <c r="H39" s="8" t="s">
        <v>10</v>
      </c>
      <c r="I39" s="8" t="s">
        <v>541</v>
      </c>
      <c r="J39" s="8" t="s">
        <v>539</v>
      </c>
      <c r="K39" s="9" t="s">
        <v>270</v>
      </c>
      <c r="L39" s="30" t="s">
        <v>545</v>
      </c>
      <c r="M39" s="31">
        <v>3.8910999999999998</v>
      </c>
      <c r="N39" s="563" t="str" cm="1">
        <f t="array" ref="N39">_xlfn.XLOOKUP("?*",U39:Z39&amp;"",$U$3:$Z$3,S39,2,-1)</f>
        <v>R5</v>
      </c>
      <c r="O39" s="565" cm="1">
        <f t="array" ref="O39">_xlfn.XLOOKUP("?*",U39:Z39&amp;"",U39:Z39,T39,2,-1)</f>
        <v>3.7437</v>
      </c>
      <c r="P39" s="92"/>
      <c r="Q39" s="88"/>
      <c r="R39" s="1"/>
      <c r="S39" s="76" t="s">
        <v>1299</v>
      </c>
      <c r="T39" s="35">
        <v>3.7547000000000001</v>
      </c>
      <c r="U39" s="42"/>
      <c r="V39" s="43">
        <v>3.7513000000000001</v>
      </c>
      <c r="W39" s="43"/>
      <c r="X39" s="43"/>
      <c r="Y39" s="43"/>
      <c r="Z39" s="43">
        <v>3.7437</v>
      </c>
      <c r="AA39" s="44"/>
      <c r="AB39" s="81"/>
      <c r="AC39" s="22"/>
      <c r="AD39" s="444" t="str">
        <f t="shared" si="27"/>
        <v/>
      </c>
      <c r="AE39" s="441">
        <f t="shared" si="28"/>
        <v>3.4000000000000696</v>
      </c>
      <c r="AF39" s="441" t="str">
        <f t="shared" ref="AF39:AF70" si="29">IF(W39="","",(AV39-AX39)*(-1000))</f>
        <v/>
      </c>
      <c r="AG39" s="478" t="str">
        <f t="shared" si="21"/>
        <v/>
      </c>
      <c r="AH39" s="443" t="str">
        <f t="shared" si="22"/>
        <v/>
      </c>
      <c r="AI39" s="441">
        <f t="shared" si="17"/>
        <v>7.6000000000000512</v>
      </c>
      <c r="AJ39" s="655" t="str">
        <f t="shared" si="18"/>
        <v/>
      </c>
      <c r="AM39" s="477" t="str" cm="1">
        <f t="array" ref="AM39">_xlfn.XLOOKUP("?*",U39:AA39&amp;"",$U$3:$AA$3,S39,2,-1)</f>
        <v>R5</v>
      </c>
      <c r="AN39" s="477" cm="1">
        <f t="array" ref="AN39">_xlfn.XLOOKUP("?*",U39:AA39&amp;"",U39:AA39,T39,2,-1)</f>
        <v>3.7437</v>
      </c>
      <c r="AO39" s="477" t="str" cm="1">
        <f t="array" ref="AO39">_xlfn.XLOOKUP("?*",U39:Z39&amp;"",$U$3:$Z$3,S39,2,-1)</f>
        <v>R5</v>
      </c>
      <c r="AP39" s="477" cm="1">
        <f t="array" ref="AP39">_xlfn.XLOOKUP("?*",U39:Z39&amp;"",U39:Z39,T39,2,-1)</f>
        <v>3.7437</v>
      </c>
      <c r="AQ39" s="477" t="str" cm="1">
        <f t="array" ref="AQ39">_xlfn.XLOOKUP("?*",U39:Y39&amp;"",$U$3:$Y$3,S39,2,-1)</f>
        <v>R1</v>
      </c>
      <c r="AR39" s="477" cm="1">
        <f t="array" ref="AR39">_xlfn.XLOOKUP("?*",U39:Y39&amp;"",U39:Y39,T39,2,-1)</f>
        <v>3.7513000000000001</v>
      </c>
      <c r="AS39" s="477" t="str" cm="1">
        <f t="array" ref="AS39">_xlfn.XLOOKUP("?*",U39:X39&amp;"",$U$3:$X$3,S39,2,-1)</f>
        <v>R1</v>
      </c>
      <c r="AT39" s="477" cm="1">
        <f t="array" ref="AT39">_xlfn.XLOOKUP("?*",U39:X39&amp;"",U39:X39,T39,2,-1)</f>
        <v>3.7513000000000001</v>
      </c>
      <c r="AU39" s="1" t="str">
        <f t="shared" si="23"/>
        <v>R1</v>
      </c>
      <c r="AV39" s="1">
        <f t="shared" si="24"/>
        <v>3.7513000000000001</v>
      </c>
      <c r="AW39" s="1" t="str">
        <f t="shared" si="25"/>
        <v>R1</v>
      </c>
      <c r="AX39" s="1">
        <f t="shared" si="26"/>
        <v>3.7513000000000001</v>
      </c>
    </row>
    <row r="40" spans="1:50" ht="17.100000000000001" customHeight="1">
      <c r="A40" s="10">
        <v>225</v>
      </c>
      <c r="B40" s="53" t="s">
        <v>595</v>
      </c>
      <c r="C40" s="10" t="s">
        <v>38</v>
      </c>
      <c r="D40" s="69" t="s">
        <v>1112</v>
      </c>
      <c r="E40" s="69" t="s">
        <v>1457</v>
      </c>
      <c r="F40" s="70" t="s">
        <v>1411</v>
      </c>
      <c r="G40" s="26" t="s">
        <v>9</v>
      </c>
      <c r="H40" s="8" t="s">
        <v>10</v>
      </c>
      <c r="I40" s="8" t="s">
        <v>541</v>
      </c>
      <c r="J40" s="8" t="s">
        <v>539</v>
      </c>
      <c r="K40" s="9" t="s">
        <v>270</v>
      </c>
      <c r="L40" s="30" t="s">
        <v>545</v>
      </c>
      <c r="M40" s="31">
        <v>3.6545000000000001</v>
      </c>
      <c r="N40" s="563" t="str" cm="1">
        <f t="array" ref="N40">_xlfn.XLOOKUP("?*",U40:Z40&amp;"",$U$3:$Z$3,S40,2,-1)</f>
        <v>R5</v>
      </c>
      <c r="O40" s="565" cm="1">
        <f t="array" ref="O40">_xlfn.XLOOKUP("?*",U40:Z40&amp;"",U40:Z40,T40,2,-1)</f>
        <v>3.5232000000000001</v>
      </c>
      <c r="P40" s="92"/>
      <c r="Q40" s="88"/>
      <c r="R40" s="1"/>
      <c r="S40" s="76" t="s">
        <v>1296</v>
      </c>
      <c r="T40" s="35">
        <v>3.5369000000000002</v>
      </c>
      <c r="U40" s="42"/>
      <c r="V40" s="43">
        <v>3.5314000000000001</v>
      </c>
      <c r="W40" s="43"/>
      <c r="X40" s="43"/>
      <c r="Y40" s="43"/>
      <c r="Z40" s="43">
        <v>3.5232000000000001</v>
      </c>
      <c r="AA40" s="44"/>
      <c r="AB40" s="81"/>
      <c r="AC40" s="22"/>
      <c r="AD40" s="444" t="str">
        <f t="shared" si="27"/>
        <v/>
      </c>
      <c r="AE40" s="441">
        <f t="shared" si="28"/>
        <v>5.5000000000000604</v>
      </c>
      <c r="AF40" s="441" t="str">
        <f t="shared" si="29"/>
        <v/>
      </c>
      <c r="AG40" s="478" t="str">
        <f t="shared" si="21"/>
        <v/>
      </c>
      <c r="AH40" s="443" t="str">
        <f t="shared" si="22"/>
        <v/>
      </c>
      <c r="AI40" s="441">
        <f t="shared" si="17"/>
        <v>8.1999999999999851</v>
      </c>
      <c r="AJ40" s="655" t="str">
        <f>IF(AA40="","",($AN40-$AP40)*(-1000))</f>
        <v/>
      </c>
      <c r="AM40" s="477" t="str" cm="1">
        <f t="array" ref="AM40">_xlfn.XLOOKUP("?*",U40:AA40&amp;"",$U$3:$AA$3,S40,2,-1)</f>
        <v>R5</v>
      </c>
      <c r="AN40" s="477" cm="1">
        <f t="array" ref="AN40">_xlfn.XLOOKUP("?*",U40:AA40&amp;"",U40:AA40,T40,2,-1)</f>
        <v>3.5232000000000001</v>
      </c>
      <c r="AO40" s="477" t="str" cm="1">
        <f t="array" ref="AO40">_xlfn.XLOOKUP("?*",U40:Z40&amp;"",$U$3:$Z$3,S40,2,-1)</f>
        <v>R5</v>
      </c>
      <c r="AP40" s="477" cm="1">
        <f t="array" ref="AP40">_xlfn.XLOOKUP("?*",U40:Z40&amp;"",U40:Z40,T40,2,-1)</f>
        <v>3.5232000000000001</v>
      </c>
      <c r="AQ40" s="477" t="str" cm="1">
        <f t="array" ref="AQ40">_xlfn.XLOOKUP("?*",U40:Y40&amp;"",$U$3:$Y$3,S40,2,-1)</f>
        <v>R1</v>
      </c>
      <c r="AR40" s="477" cm="1">
        <f t="array" ref="AR40">_xlfn.XLOOKUP("?*",U40:Y40&amp;"",U40:Y40,T40,2,-1)</f>
        <v>3.5314000000000001</v>
      </c>
      <c r="AS40" s="477" t="str" cm="1">
        <f t="array" ref="AS40">_xlfn.XLOOKUP("?*",U40:X40&amp;"",$U$3:$X$3,S40,2,-1)</f>
        <v>R1</v>
      </c>
      <c r="AT40" s="477" cm="1">
        <f t="array" ref="AT40">_xlfn.XLOOKUP("?*",U40:X40&amp;"",U40:X40,T40,2,-1)</f>
        <v>3.5314000000000001</v>
      </c>
      <c r="AU40" s="1" t="str">
        <f t="shared" si="23"/>
        <v>R1</v>
      </c>
      <c r="AV40" s="1">
        <f t="shared" si="24"/>
        <v>3.5314000000000001</v>
      </c>
      <c r="AW40" s="1" t="str">
        <f t="shared" si="25"/>
        <v>R1</v>
      </c>
      <c r="AX40" s="1">
        <f t="shared" si="26"/>
        <v>3.5314000000000001</v>
      </c>
    </row>
    <row r="41" spans="1:50" ht="17.100000000000001" customHeight="1">
      <c r="A41" s="10">
        <v>226</v>
      </c>
      <c r="B41" s="53" t="s">
        <v>596</v>
      </c>
      <c r="C41" s="10" t="s">
        <v>38</v>
      </c>
      <c r="D41" s="69" t="s">
        <v>1113</v>
      </c>
      <c r="E41" s="69" t="s">
        <v>1457</v>
      </c>
      <c r="F41" s="70" t="s">
        <v>1412</v>
      </c>
      <c r="G41" s="26" t="s">
        <v>9</v>
      </c>
      <c r="H41" s="8" t="s">
        <v>10</v>
      </c>
      <c r="I41" s="8" t="s">
        <v>64</v>
      </c>
      <c r="J41" s="8" t="s">
        <v>539</v>
      </c>
      <c r="K41" s="9" t="s">
        <v>270</v>
      </c>
      <c r="L41" s="30" t="s">
        <v>545</v>
      </c>
      <c r="M41" s="31">
        <v>5.5018000000000002</v>
      </c>
      <c r="N41" s="563" t="str" cm="1">
        <f t="array" ref="N41">_xlfn.XLOOKUP("?*",U41:Z41&amp;"",$U$3:$Z$3,S41,2,-1)</f>
        <v>R5</v>
      </c>
      <c r="O41" s="565" cm="1">
        <f t="array" ref="O41">_xlfn.XLOOKUP("?*",U41:Z41&amp;"",U41:Z41,T41,2,-1)</f>
        <v>5.3735999999999997</v>
      </c>
      <c r="P41" s="93"/>
      <c r="Q41" s="88"/>
      <c r="R41" s="1"/>
      <c r="S41" s="77" t="s">
        <v>1296</v>
      </c>
      <c r="T41" s="35">
        <v>5.3844000000000003</v>
      </c>
      <c r="U41" s="42"/>
      <c r="V41" s="43"/>
      <c r="W41" s="43"/>
      <c r="X41" s="43"/>
      <c r="Y41" s="43"/>
      <c r="Z41" s="43">
        <v>5.3735999999999997</v>
      </c>
      <c r="AA41" s="44"/>
      <c r="AB41" s="82"/>
      <c r="AC41" s="22"/>
      <c r="AD41" s="444" t="str">
        <f t="shared" si="27"/>
        <v/>
      </c>
      <c r="AE41" s="441" t="str">
        <f t="shared" si="28"/>
        <v/>
      </c>
      <c r="AF41" s="441" t="str">
        <f t="shared" si="29"/>
        <v/>
      </c>
      <c r="AG41" s="478" t="str">
        <f t="shared" si="21"/>
        <v/>
      </c>
      <c r="AH41" s="443" t="str">
        <f t="shared" si="22"/>
        <v/>
      </c>
      <c r="AI41" s="441">
        <f t="shared" si="17"/>
        <v>10.800000000000587</v>
      </c>
      <c r="AJ41" s="655" t="str">
        <f t="shared" si="18"/>
        <v/>
      </c>
      <c r="AM41" s="477" t="str" cm="1">
        <f t="array" ref="AM41">_xlfn.XLOOKUP("?*",U41:AA41&amp;"",$U$3:$AA$3,S41,2,-1)</f>
        <v>R5</v>
      </c>
      <c r="AN41" s="477" cm="1">
        <f t="array" ref="AN41">_xlfn.XLOOKUP("?*",U41:AA41&amp;"",U41:AA41,T41,2,-1)</f>
        <v>5.3735999999999997</v>
      </c>
      <c r="AO41" s="477" t="str" cm="1">
        <f t="array" ref="AO41">_xlfn.XLOOKUP("?*",U41:Z41&amp;"",$U$3:$Z$3,S41,2,-1)</f>
        <v>R5</v>
      </c>
      <c r="AP41" s="477" cm="1">
        <f t="array" ref="AP41">_xlfn.XLOOKUP("?*",U41:Z41&amp;"",U41:Z41,T41,2,-1)</f>
        <v>5.3735999999999997</v>
      </c>
      <c r="AQ41" s="477" t="str" cm="1">
        <f t="array" ref="AQ41">_xlfn.XLOOKUP("?*",U41:Y41&amp;"",$U$3:$Y$3,S41,2,-1)</f>
        <v>H29</v>
      </c>
      <c r="AR41" s="477" cm="1">
        <f t="array" ref="AR41">_xlfn.XLOOKUP("?*",U41:Y41&amp;"",U41:Y41,T41,2,-1)</f>
        <v>5.3844000000000003</v>
      </c>
      <c r="AS41" s="477" t="str" cm="1">
        <f t="array" ref="AS41">_xlfn.XLOOKUP("?*",U41:X41&amp;"",$U$3:$X$3,S41,2,-1)</f>
        <v>H29</v>
      </c>
      <c r="AT41" s="477" cm="1">
        <f t="array" ref="AT41">_xlfn.XLOOKUP("?*",U41:X41&amp;"",U41:X41,T41,2,-1)</f>
        <v>5.3844000000000003</v>
      </c>
      <c r="AU41" s="1" t="str">
        <f t="shared" si="23"/>
        <v>H29</v>
      </c>
      <c r="AV41" s="1">
        <f t="shared" si="24"/>
        <v>5.3844000000000003</v>
      </c>
      <c r="AW41" s="1" t="str">
        <f t="shared" si="25"/>
        <v>H29</v>
      </c>
      <c r="AX41" s="1">
        <f t="shared" si="26"/>
        <v>5.3844000000000003</v>
      </c>
    </row>
    <row r="42" spans="1:50" ht="17.100000000000001" customHeight="1">
      <c r="A42" s="10">
        <v>227</v>
      </c>
      <c r="B42" s="53" t="s">
        <v>429</v>
      </c>
      <c r="C42" s="10" t="s">
        <v>38</v>
      </c>
      <c r="D42" s="69" t="s">
        <v>1114</v>
      </c>
      <c r="E42" s="69" t="s">
        <v>1458</v>
      </c>
      <c r="F42" s="70" t="s">
        <v>85</v>
      </c>
      <c r="G42" s="26" t="s">
        <v>9</v>
      </c>
      <c r="H42" s="8" t="s">
        <v>73</v>
      </c>
      <c r="I42" s="8" t="s">
        <v>64</v>
      </c>
      <c r="J42" s="8" t="s">
        <v>539</v>
      </c>
      <c r="K42" s="9" t="s">
        <v>270</v>
      </c>
      <c r="L42" s="30" t="s">
        <v>545</v>
      </c>
      <c r="M42" s="31">
        <v>2.4504999999999999</v>
      </c>
      <c r="N42" s="563" t="str" cm="1">
        <f t="array" ref="N42">_xlfn.XLOOKUP("?*",U42:Z42&amp;"",$U$3:$Z$3,S42,2,-1)</f>
        <v>H29</v>
      </c>
      <c r="O42" s="565" cm="1">
        <f t="array" ref="O42">_xlfn.XLOOKUP("?*",U42:Z42&amp;"",U42:Z42,T42,2,-1)</f>
        <v>2.3431999999999999</v>
      </c>
      <c r="P42" s="93"/>
      <c r="Q42" s="88"/>
      <c r="R42" s="1"/>
      <c r="S42" s="77" t="s">
        <v>1296</v>
      </c>
      <c r="T42" s="35">
        <v>2.3431999999999999</v>
      </c>
      <c r="U42" s="42"/>
      <c r="V42" s="43"/>
      <c r="W42" s="40"/>
      <c r="X42" s="43"/>
      <c r="Y42" s="43"/>
      <c r="Z42" s="43"/>
      <c r="AA42" s="44"/>
      <c r="AB42" s="82"/>
      <c r="AC42" s="22"/>
      <c r="AD42" s="444" t="str">
        <f t="shared" si="27"/>
        <v/>
      </c>
      <c r="AE42" s="441" t="str">
        <f t="shared" si="28"/>
        <v/>
      </c>
      <c r="AF42" s="441" t="str">
        <f t="shared" si="29"/>
        <v/>
      </c>
      <c r="AG42" s="478" t="str">
        <f t="shared" si="21"/>
        <v/>
      </c>
      <c r="AH42" s="443" t="str">
        <f t="shared" si="22"/>
        <v/>
      </c>
      <c r="AI42" s="441" t="str">
        <f t="shared" si="17"/>
        <v/>
      </c>
      <c r="AJ42" s="655" t="str">
        <f t="shared" si="18"/>
        <v/>
      </c>
      <c r="AM42" s="477" t="str" cm="1">
        <f t="array" ref="AM42">_xlfn.XLOOKUP("?*",U42:AA42&amp;"",$U$3:$AA$3,S42,2,-1)</f>
        <v>H29</v>
      </c>
      <c r="AN42" s="477" cm="1">
        <f t="array" ref="AN42">_xlfn.XLOOKUP("?*",U42:AA42&amp;"",U42:AA42,T42,2,-1)</f>
        <v>2.3431999999999999</v>
      </c>
      <c r="AO42" s="477" t="str" cm="1">
        <f t="array" ref="AO42">_xlfn.XLOOKUP("?*",U42:Z42&amp;"",$U$3:$Z$3,S42,2,-1)</f>
        <v>H29</v>
      </c>
      <c r="AP42" s="477" cm="1">
        <f t="array" ref="AP42">_xlfn.XLOOKUP("?*",U42:Z42&amp;"",U42:Z42,T42,2,-1)</f>
        <v>2.3431999999999999</v>
      </c>
      <c r="AQ42" s="477" t="str" cm="1">
        <f t="array" ref="AQ42">_xlfn.XLOOKUP("?*",U42:Y42&amp;"",$U$3:$Y$3,S42,2,-1)</f>
        <v>H29</v>
      </c>
      <c r="AR42" s="477" cm="1">
        <f t="array" ref="AR42">_xlfn.XLOOKUP("?*",U42:Y42&amp;"",U42:Y42,T42,2,-1)</f>
        <v>2.3431999999999999</v>
      </c>
      <c r="AS42" s="477" t="str" cm="1">
        <f t="array" ref="AS42">_xlfn.XLOOKUP("?*",U42:X42&amp;"",$U$3:$X$3,S42,2,-1)</f>
        <v>H29</v>
      </c>
      <c r="AT42" s="477" cm="1">
        <f t="array" ref="AT42">_xlfn.XLOOKUP("?*",U42:X42&amp;"",U42:X42,T42,2,-1)</f>
        <v>2.3431999999999999</v>
      </c>
      <c r="AU42" s="1" t="str">
        <f t="shared" si="23"/>
        <v>H29</v>
      </c>
      <c r="AV42" s="1">
        <f t="shared" si="24"/>
        <v>2.3431999999999999</v>
      </c>
      <c r="AW42" s="1" t="str">
        <f t="shared" si="25"/>
        <v>H29</v>
      </c>
      <c r="AX42" s="1">
        <f t="shared" si="26"/>
        <v>2.3431999999999999</v>
      </c>
    </row>
    <row r="43" spans="1:50" ht="17.100000000000001" customHeight="1">
      <c r="A43" s="10">
        <v>228</v>
      </c>
      <c r="B43" s="53" t="s">
        <v>430</v>
      </c>
      <c r="C43" s="10" t="s">
        <v>38</v>
      </c>
      <c r="D43" s="69" t="s">
        <v>654</v>
      </c>
      <c r="E43" s="69" t="s">
        <v>654</v>
      </c>
      <c r="F43" s="70" t="s">
        <v>257</v>
      </c>
      <c r="G43" s="26" t="s">
        <v>9</v>
      </c>
      <c r="H43" s="8" t="s">
        <v>73</v>
      </c>
      <c r="I43" s="8" t="s">
        <v>541</v>
      </c>
      <c r="J43" s="8" t="s">
        <v>54</v>
      </c>
      <c r="K43" s="9" t="s">
        <v>270</v>
      </c>
      <c r="L43" s="30" t="s">
        <v>545</v>
      </c>
      <c r="M43" s="31">
        <v>3.9973000000000001</v>
      </c>
      <c r="N43" s="563" t="str" cm="1">
        <f t="array" ref="N43">_xlfn.XLOOKUP("?*",U43:Z43&amp;"",$U$3:$Z$3,S43,2,-1)</f>
        <v>H29</v>
      </c>
      <c r="O43" s="565" cm="1">
        <f t="array" ref="O43">_xlfn.XLOOKUP("?*",U43:Z43&amp;"",U43:Z43,T43,2,-1)</f>
        <v>3.8801000000000001</v>
      </c>
      <c r="P43" s="93"/>
      <c r="Q43" s="88"/>
      <c r="R43" s="1"/>
      <c r="S43" s="77" t="s">
        <v>1296</v>
      </c>
      <c r="T43" s="35">
        <v>3.8801000000000001</v>
      </c>
      <c r="U43" s="42"/>
      <c r="V43" s="43"/>
      <c r="W43" s="43"/>
      <c r="X43" s="43"/>
      <c r="Y43" s="43"/>
      <c r="Z43" s="43"/>
      <c r="AA43" s="44"/>
      <c r="AB43" s="82"/>
      <c r="AC43" s="22"/>
      <c r="AD43" s="444" t="str">
        <f t="shared" si="27"/>
        <v/>
      </c>
      <c r="AE43" s="441" t="str">
        <f t="shared" si="28"/>
        <v/>
      </c>
      <c r="AF43" s="441" t="str">
        <f t="shared" si="29"/>
        <v/>
      </c>
      <c r="AG43" s="478" t="str">
        <f t="shared" si="21"/>
        <v/>
      </c>
      <c r="AH43" s="443" t="str">
        <f t="shared" si="22"/>
        <v/>
      </c>
      <c r="AI43" s="441" t="str">
        <f t="shared" si="17"/>
        <v/>
      </c>
      <c r="AJ43" s="655" t="str">
        <f t="shared" si="18"/>
        <v/>
      </c>
      <c r="AM43" s="477" t="str" cm="1">
        <f t="array" ref="AM43">_xlfn.XLOOKUP("?*",U43:AA43&amp;"",$U$3:$AA$3,S43,2,-1)</f>
        <v>H29</v>
      </c>
      <c r="AN43" s="477" cm="1">
        <f t="array" ref="AN43">_xlfn.XLOOKUP("?*",U43:AA43&amp;"",U43:AA43,T43,2,-1)</f>
        <v>3.8801000000000001</v>
      </c>
      <c r="AO43" s="477" t="str" cm="1">
        <f t="array" ref="AO43">_xlfn.XLOOKUP("?*",U43:Z43&amp;"",$U$3:$Z$3,S43,2,-1)</f>
        <v>H29</v>
      </c>
      <c r="AP43" s="477" cm="1">
        <f t="array" ref="AP43">_xlfn.XLOOKUP("?*",U43:Z43&amp;"",U43:Z43,T43,2,-1)</f>
        <v>3.8801000000000001</v>
      </c>
      <c r="AQ43" s="477" t="str" cm="1">
        <f t="array" ref="AQ43">_xlfn.XLOOKUP("?*",U43:Y43&amp;"",$U$3:$Y$3,S43,2,-1)</f>
        <v>H29</v>
      </c>
      <c r="AR43" s="477" cm="1">
        <f t="array" ref="AR43">_xlfn.XLOOKUP("?*",U43:Y43&amp;"",U43:Y43,T43,2,-1)</f>
        <v>3.8801000000000001</v>
      </c>
      <c r="AS43" s="477" t="str" cm="1">
        <f t="array" ref="AS43">_xlfn.XLOOKUP("?*",U43:X43&amp;"",$U$3:$X$3,S43,2,-1)</f>
        <v>H29</v>
      </c>
      <c r="AT43" s="477" cm="1">
        <f t="array" ref="AT43">_xlfn.XLOOKUP("?*",U43:X43&amp;"",U43:X43,T43,2,-1)</f>
        <v>3.8801000000000001</v>
      </c>
      <c r="AU43" s="1" t="str">
        <f t="shared" si="23"/>
        <v>H29</v>
      </c>
      <c r="AV43" s="1">
        <f t="shared" si="24"/>
        <v>3.8801000000000001</v>
      </c>
      <c r="AW43" s="1" t="str">
        <f t="shared" si="25"/>
        <v>H29</v>
      </c>
      <c r="AX43" s="1">
        <f t="shared" si="26"/>
        <v>3.8801000000000001</v>
      </c>
    </row>
    <row r="44" spans="1:50" ht="17.100000000000001" customHeight="1">
      <c r="A44" s="10">
        <v>229</v>
      </c>
      <c r="B44" s="53" t="s">
        <v>597</v>
      </c>
      <c r="C44" s="10" t="s">
        <v>38</v>
      </c>
      <c r="D44" s="69" t="s">
        <v>682</v>
      </c>
      <c r="E44" s="69" t="s">
        <v>682</v>
      </c>
      <c r="F44" s="70" t="s">
        <v>89</v>
      </c>
      <c r="G44" s="26" t="s">
        <v>9</v>
      </c>
      <c r="H44" s="8" t="s">
        <v>73</v>
      </c>
      <c r="I44" s="8" t="s">
        <v>541</v>
      </c>
      <c r="J44" s="8" t="s">
        <v>54</v>
      </c>
      <c r="K44" s="9" t="s">
        <v>270</v>
      </c>
      <c r="L44" s="30" t="s">
        <v>545</v>
      </c>
      <c r="M44" s="31">
        <v>5.0195999999999996</v>
      </c>
      <c r="N44" s="563" t="str" cm="1">
        <f t="array" ref="N44">_xlfn.XLOOKUP("?*",U44:Z44&amp;"",$U$3:$Z$3,S44,2,-1)</f>
        <v>H29</v>
      </c>
      <c r="O44" s="565" cm="1">
        <f t="array" ref="O44">_xlfn.XLOOKUP("?*",U44:Z44&amp;"",U44:Z44,T44,2,-1)</f>
        <v>4.8811999999999998</v>
      </c>
      <c r="P44" s="93"/>
      <c r="Q44" s="88"/>
      <c r="R44" s="1"/>
      <c r="S44" s="77" t="s">
        <v>1299</v>
      </c>
      <c r="T44" s="35">
        <v>4.8811999999999998</v>
      </c>
      <c r="U44" s="42"/>
      <c r="V44" s="43"/>
      <c r="W44" s="43"/>
      <c r="X44" s="43"/>
      <c r="Y44" s="43"/>
      <c r="Z44" s="43"/>
      <c r="AA44" s="44"/>
      <c r="AB44" s="82"/>
      <c r="AC44" s="22"/>
      <c r="AD44" s="444" t="str">
        <f t="shared" si="27"/>
        <v/>
      </c>
      <c r="AE44" s="441" t="str">
        <f t="shared" si="28"/>
        <v/>
      </c>
      <c r="AF44" s="441" t="str">
        <f t="shared" si="29"/>
        <v/>
      </c>
      <c r="AG44" s="478" t="str">
        <f t="shared" si="21"/>
        <v/>
      </c>
      <c r="AH44" s="443" t="str">
        <f t="shared" si="22"/>
        <v/>
      </c>
      <c r="AI44" s="441" t="str">
        <f t="shared" si="17"/>
        <v/>
      </c>
      <c r="AJ44" s="655" t="str">
        <f t="shared" si="18"/>
        <v/>
      </c>
      <c r="AM44" s="477" t="str" cm="1">
        <f t="array" ref="AM44">_xlfn.XLOOKUP("?*",U44:AA44&amp;"",$U$3:$AA$3,S44,2,-1)</f>
        <v>H29</v>
      </c>
      <c r="AN44" s="477" cm="1">
        <f t="array" ref="AN44">_xlfn.XLOOKUP("?*",U44:AA44&amp;"",U44:AA44,T44,2,-1)</f>
        <v>4.8811999999999998</v>
      </c>
      <c r="AO44" s="477" t="str" cm="1">
        <f t="array" ref="AO44">_xlfn.XLOOKUP("?*",U44:Z44&amp;"",$U$3:$Z$3,S44,2,-1)</f>
        <v>H29</v>
      </c>
      <c r="AP44" s="477" cm="1">
        <f t="array" ref="AP44">_xlfn.XLOOKUP("?*",U44:Z44&amp;"",U44:Z44,T44,2,-1)</f>
        <v>4.8811999999999998</v>
      </c>
      <c r="AQ44" s="477" t="str" cm="1">
        <f t="array" ref="AQ44">_xlfn.XLOOKUP("?*",U44:Y44&amp;"",$U$3:$Y$3,S44,2,-1)</f>
        <v>H29</v>
      </c>
      <c r="AR44" s="477" cm="1">
        <f t="array" ref="AR44">_xlfn.XLOOKUP("?*",U44:Y44&amp;"",U44:Y44,T44,2,-1)</f>
        <v>4.8811999999999998</v>
      </c>
      <c r="AS44" s="477" t="str" cm="1">
        <f t="array" ref="AS44">_xlfn.XLOOKUP("?*",U44:X44&amp;"",$U$3:$X$3,S44,2,-1)</f>
        <v>H29</v>
      </c>
      <c r="AT44" s="477" cm="1">
        <f t="array" ref="AT44">_xlfn.XLOOKUP("?*",U44:X44&amp;"",U44:X44,T44,2,-1)</f>
        <v>4.8811999999999998</v>
      </c>
      <c r="AU44" s="1" t="str">
        <f t="shared" si="23"/>
        <v>H29</v>
      </c>
      <c r="AV44" s="1">
        <f t="shared" si="24"/>
        <v>4.8811999999999998</v>
      </c>
      <c r="AW44" s="1" t="str">
        <f t="shared" si="25"/>
        <v>H29</v>
      </c>
      <c r="AX44" s="1">
        <f t="shared" si="26"/>
        <v>4.8811999999999998</v>
      </c>
    </row>
    <row r="45" spans="1:50" ht="17.100000000000001" customHeight="1">
      <c r="A45" s="10">
        <v>230</v>
      </c>
      <c r="B45" s="53" t="s">
        <v>432</v>
      </c>
      <c r="C45" s="10" t="s">
        <v>38</v>
      </c>
      <c r="D45" s="69" t="s">
        <v>683</v>
      </c>
      <c r="E45" s="69" t="s">
        <v>683</v>
      </c>
      <c r="F45" s="70" t="s">
        <v>1413</v>
      </c>
      <c r="G45" s="26" t="s">
        <v>9</v>
      </c>
      <c r="H45" s="8" t="s">
        <v>31</v>
      </c>
      <c r="I45" s="8" t="s">
        <v>541</v>
      </c>
      <c r="J45" s="8" t="s">
        <v>539</v>
      </c>
      <c r="K45" s="9" t="s">
        <v>270</v>
      </c>
      <c r="L45" s="30" t="s">
        <v>545</v>
      </c>
      <c r="M45" s="31">
        <v>3.1983999999999999</v>
      </c>
      <c r="N45" s="563" t="str" cm="1">
        <f t="array" ref="N45">_xlfn.XLOOKUP("?*",U45:Z45&amp;"",$U$3:$Z$3,S45,2,-1)</f>
        <v>R1</v>
      </c>
      <c r="O45" s="565" cm="1">
        <f t="array" ref="O45">_xlfn.XLOOKUP("?*",U45:Z45&amp;"",U45:Z45,T45,2,-1)</f>
        <v>3.0802</v>
      </c>
      <c r="P45" s="92"/>
      <c r="Q45" s="88"/>
      <c r="R45" s="1"/>
      <c r="S45" s="76" t="s">
        <v>1316</v>
      </c>
      <c r="T45" s="35">
        <v>3.0804</v>
      </c>
      <c r="U45" s="42"/>
      <c r="V45" s="43">
        <v>3.0802</v>
      </c>
      <c r="W45" s="43"/>
      <c r="X45" s="43"/>
      <c r="Y45" s="43"/>
      <c r="Z45" s="43"/>
      <c r="AA45" s="44"/>
      <c r="AB45" s="81"/>
      <c r="AC45" s="22"/>
      <c r="AD45" s="444" t="str">
        <f t="shared" si="27"/>
        <v/>
      </c>
      <c r="AE45" s="441">
        <f t="shared" si="28"/>
        <v>0.19999999999997797</v>
      </c>
      <c r="AF45" s="441" t="str">
        <f t="shared" si="29"/>
        <v/>
      </c>
      <c r="AG45" s="478" t="str">
        <f t="shared" si="21"/>
        <v/>
      </c>
      <c r="AH45" s="443" t="str">
        <f t="shared" si="22"/>
        <v/>
      </c>
      <c r="AI45" s="441" t="str">
        <f t="shared" si="17"/>
        <v/>
      </c>
      <c r="AJ45" s="655" t="str">
        <f t="shared" si="18"/>
        <v/>
      </c>
      <c r="AM45" s="477" t="str" cm="1">
        <f t="array" ref="AM45">_xlfn.XLOOKUP("?*",U45:AA45&amp;"",$U$3:$AA$3,S45,2,-1)</f>
        <v>R1</v>
      </c>
      <c r="AN45" s="477" cm="1">
        <f t="array" ref="AN45">_xlfn.XLOOKUP("?*",U45:AA45&amp;"",U45:AA45,T45,2,-1)</f>
        <v>3.0802</v>
      </c>
      <c r="AO45" s="477" t="str" cm="1">
        <f t="array" ref="AO45">_xlfn.XLOOKUP("?*",U45:Z45&amp;"",$U$3:$Z$3,S45,2,-1)</f>
        <v>R1</v>
      </c>
      <c r="AP45" s="477" cm="1">
        <f t="array" ref="AP45">_xlfn.XLOOKUP("?*",U45:Z45&amp;"",U45:Z45,T45,2,-1)</f>
        <v>3.0802</v>
      </c>
      <c r="AQ45" s="477" t="str" cm="1">
        <f t="array" ref="AQ45">_xlfn.XLOOKUP("?*",U45:Y45&amp;"",$U$3:$Y$3,S45,2,-1)</f>
        <v>R1</v>
      </c>
      <c r="AR45" s="477" cm="1">
        <f t="array" ref="AR45">_xlfn.XLOOKUP("?*",U45:Y45&amp;"",U45:Y45,T45,2,-1)</f>
        <v>3.0802</v>
      </c>
      <c r="AS45" s="477" t="str" cm="1">
        <f t="array" ref="AS45">_xlfn.XLOOKUP("?*",U45:X45&amp;"",$U$3:$X$3,S45,2,-1)</f>
        <v>R1</v>
      </c>
      <c r="AT45" s="477" cm="1">
        <f t="array" ref="AT45">_xlfn.XLOOKUP("?*",U45:X45&amp;"",U45:X45,T45,2,-1)</f>
        <v>3.0802</v>
      </c>
      <c r="AU45" s="1" t="str">
        <f t="shared" si="23"/>
        <v>R1</v>
      </c>
      <c r="AV45" s="1">
        <f t="shared" si="24"/>
        <v>3.0802</v>
      </c>
      <c r="AW45" s="1" t="str">
        <f t="shared" si="25"/>
        <v>R1</v>
      </c>
      <c r="AX45" s="1">
        <f t="shared" si="26"/>
        <v>3.0802</v>
      </c>
    </row>
    <row r="46" spans="1:50" ht="17.100000000000001" customHeight="1">
      <c r="A46" s="10">
        <v>231</v>
      </c>
      <c r="B46" s="53" t="s">
        <v>598</v>
      </c>
      <c r="C46" s="10" t="s">
        <v>38</v>
      </c>
      <c r="D46" s="69" t="s">
        <v>1115</v>
      </c>
      <c r="E46" s="69" t="s">
        <v>1459</v>
      </c>
      <c r="F46" s="70" t="s">
        <v>1414</v>
      </c>
      <c r="G46" s="26" t="s">
        <v>9</v>
      </c>
      <c r="H46" s="8" t="s">
        <v>31</v>
      </c>
      <c r="I46" s="8" t="s">
        <v>64</v>
      </c>
      <c r="J46" s="8" t="s">
        <v>54</v>
      </c>
      <c r="K46" s="9" t="s">
        <v>270</v>
      </c>
      <c r="L46" s="30" t="s">
        <v>545</v>
      </c>
      <c r="M46" s="31">
        <v>5.6725000000000003</v>
      </c>
      <c r="N46" s="563" t="str" cm="1">
        <f t="array" ref="N46">_xlfn.XLOOKUP("?*",U46:Z46&amp;"",$U$3:$Z$3,S46,2,-1)</f>
        <v>R1</v>
      </c>
      <c r="O46" s="565" cm="1">
        <f t="array" ref="O46">_xlfn.XLOOKUP("?*",U46:Z46&amp;"",U46:Z46,T46,2,-1)</f>
        <v>5.2644000000000002</v>
      </c>
      <c r="P46" s="92"/>
      <c r="Q46" s="87"/>
      <c r="R46" s="1"/>
      <c r="S46" s="76" t="s">
        <v>1299</v>
      </c>
      <c r="T46" s="34">
        <v>5.2736999999999998</v>
      </c>
      <c r="U46" s="39"/>
      <c r="V46" s="40">
        <v>5.2644000000000002</v>
      </c>
      <c r="W46" s="40"/>
      <c r="X46" s="40"/>
      <c r="Y46" s="40"/>
      <c r="Z46" s="40"/>
      <c r="AA46" s="41"/>
      <c r="AB46" s="81"/>
      <c r="AC46" s="21"/>
      <c r="AD46" s="442" t="str">
        <f t="shared" si="27"/>
        <v/>
      </c>
      <c r="AE46" s="443">
        <f t="shared" si="28"/>
        <v>9.2999999999996419</v>
      </c>
      <c r="AF46" s="443" t="str">
        <f t="shared" si="29"/>
        <v/>
      </c>
      <c r="AG46" s="478" t="str">
        <f t="shared" si="21"/>
        <v/>
      </c>
      <c r="AH46" s="443" t="str">
        <f t="shared" si="22"/>
        <v/>
      </c>
      <c r="AI46" s="441" t="str">
        <f t="shared" si="17"/>
        <v/>
      </c>
      <c r="AJ46" s="655" t="str">
        <f t="shared" si="18"/>
        <v/>
      </c>
      <c r="AM46" s="477" t="str" cm="1">
        <f t="array" ref="AM46">_xlfn.XLOOKUP("?*",U46:AA46&amp;"",$U$3:$AA$3,S46,2,-1)</f>
        <v>R1</v>
      </c>
      <c r="AN46" s="477" cm="1">
        <f t="array" ref="AN46">_xlfn.XLOOKUP("?*",U46:AA46&amp;"",U46:AA46,T46,2,-1)</f>
        <v>5.2644000000000002</v>
      </c>
      <c r="AO46" s="477" t="str" cm="1">
        <f t="array" ref="AO46">_xlfn.XLOOKUP("?*",U46:Z46&amp;"",$U$3:$Z$3,S46,2,-1)</f>
        <v>R1</v>
      </c>
      <c r="AP46" s="477" cm="1">
        <f t="array" ref="AP46">_xlfn.XLOOKUP("?*",U46:Z46&amp;"",U46:Z46,T46,2,-1)</f>
        <v>5.2644000000000002</v>
      </c>
      <c r="AQ46" s="477" t="str" cm="1">
        <f t="array" ref="AQ46">_xlfn.XLOOKUP("?*",U46:Y46&amp;"",$U$3:$Y$3,S46,2,-1)</f>
        <v>R1</v>
      </c>
      <c r="AR46" s="477" cm="1">
        <f t="array" ref="AR46">_xlfn.XLOOKUP("?*",U46:Y46&amp;"",U46:Y46,T46,2,-1)</f>
        <v>5.2644000000000002</v>
      </c>
      <c r="AS46" s="477" t="str" cm="1">
        <f t="array" ref="AS46">_xlfn.XLOOKUP("?*",U46:X46&amp;"",$U$3:$X$3,S46,2,-1)</f>
        <v>R1</v>
      </c>
      <c r="AT46" s="477" cm="1">
        <f t="array" ref="AT46">_xlfn.XLOOKUP("?*",U46:X46&amp;"",U46:X46,T46,2,-1)</f>
        <v>5.2644000000000002</v>
      </c>
      <c r="AU46" s="1" t="str">
        <f t="shared" si="23"/>
        <v>R1</v>
      </c>
      <c r="AV46" s="1">
        <f t="shared" si="24"/>
        <v>5.2644000000000002</v>
      </c>
      <c r="AW46" s="1" t="str">
        <f t="shared" si="25"/>
        <v>R1</v>
      </c>
      <c r="AX46" s="1">
        <f t="shared" si="26"/>
        <v>5.2644000000000002</v>
      </c>
    </row>
    <row r="47" spans="1:50" ht="17.100000000000001" customHeight="1">
      <c r="A47" s="502">
        <v>232</v>
      </c>
      <c r="B47" s="503" t="s">
        <v>433</v>
      </c>
      <c r="C47" s="502" t="s">
        <v>38</v>
      </c>
      <c r="D47" s="504" t="s">
        <v>1355</v>
      </c>
      <c r="E47" s="504" t="s">
        <v>1355</v>
      </c>
      <c r="F47" s="484" t="s">
        <v>299</v>
      </c>
      <c r="G47" s="485" t="s">
        <v>9</v>
      </c>
      <c r="H47" s="486" t="s">
        <v>31</v>
      </c>
      <c r="I47" s="486" t="s">
        <v>64</v>
      </c>
      <c r="J47" s="486" t="s">
        <v>539</v>
      </c>
      <c r="K47" s="487" t="s">
        <v>270</v>
      </c>
      <c r="L47" s="30"/>
      <c r="M47" s="31"/>
      <c r="N47" s="563" t="str" cm="1">
        <f t="array" ref="N47">_xlfn.XLOOKUP("?*",U47:Z47&amp;"",$U$3:$Z$3,S47,2,-1)</f>
        <v>-</v>
      </c>
      <c r="O47" s="565" t="str" cm="1">
        <f t="array" ref="O47">_xlfn.XLOOKUP("?*",U47:Z47&amp;"",U47:Z47,T47,2,-1)</f>
        <v>-</v>
      </c>
      <c r="P47" s="92"/>
      <c r="Q47" s="505"/>
      <c r="R47" s="14"/>
      <c r="S47" s="76" t="s">
        <v>1354</v>
      </c>
      <c r="T47" s="488" t="s">
        <v>1354</v>
      </c>
      <c r="U47" s="39"/>
      <c r="V47" s="40"/>
      <c r="W47" s="40"/>
      <c r="X47" s="40"/>
      <c r="Y47" s="40"/>
      <c r="Z47" s="40"/>
      <c r="AA47" s="41"/>
      <c r="AB47" s="81"/>
      <c r="AC47" s="21"/>
      <c r="AD47" s="442" t="str">
        <f t="shared" ref="AD47" si="30">IF(U47="","",-(U47-T47)*1000)</f>
        <v/>
      </c>
      <c r="AE47" s="443" t="str">
        <f t="shared" ref="AE47" si="31">IF(V47="","",IF(U47="",-(V47-T47)*1000,-(V47-U47)*1000))</f>
        <v/>
      </c>
      <c r="AF47" s="443" t="str">
        <f t="shared" si="29"/>
        <v/>
      </c>
      <c r="AG47" s="478" t="str">
        <f t="shared" si="21"/>
        <v/>
      </c>
      <c r="AH47" s="443" t="str">
        <f t="shared" si="22"/>
        <v/>
      </c>
      <c r="AI47" s="441" t="str">
        <f t="shared" si="17"/>
        <v/>
      </c>
      <c r="AJ47" s="655" t="str">
        <f t="shared" si="18"/>
        <v/>
      </c>
      <c r="AM47" s="477" t="str" cm="1">
        <f t="array" ref="AM47">_xlfn.XLOOKUP("?*",U47:AA47&amp;"",$U$3:$AA$3,S47,2,-1)</f>
        <v>-</v>
      </c>
      <c r="AN47" s="477" t="str" cm="1">
        <f t="array" ref="AN47">_xlfn.XLOOKUP("?*",U47:AA47&amp;"",U47:AA47,T47,2,-1)</f>
        <v>-</v>
      </c>
      <c r="AO47" s="477" t="str" cm="1">
        <f t="array" ref="AO47">_xlfn.XLOOKUP("?*",U47:Z47&amp;"",$U$3:$Z$3,S47,2,-1)</f>
        <v>-</v>
      </c>
      <c r="AP47" s="477" t="str" cm="1">
        <f t="array" ref="AP47">_xlfn.XLOOKUP("?*",U47:Z47&amp;"",U47:Z47,T47,2,-1)</f>
        <v>-</v>
      </c>
      <c r="AQ47" s="477" t="str" cm="1">
        <f t="array" ref="AQ47">_xlfn.XLOOKUP("?*",U47:Y47&amp;"",$U$3:$Y$3,S47,2,-1)</f>
        <v>-</v>
      </c>
      <c r="AR47" s="477" t="str" cm="1">
        <f t="array" ref="AR47">_xlfn.XLOOKUP("?*",U47:Y47&amp;"",U47:Y47,T47,2,-1)</f>
        <v>-</v>
      </c>
      <c r="AS47" s="477" t="str" cm="1">
        <f t="array" ref="AS47">_xlfn.XLOOKUP("?*",U47:X47&amp;"",$U$3:$X$3,S47,2,-1)</f>
        <v>-</v>
      </c>
      <c r="AT47" s="477" t="str" cm="1">
        <f t="array" ref="AT47">_xlfn.XLOOKUP("?*",U47:X47&amp;"",U47:X47,T47,2,-1)</f>
        <v>-</v>
      </c>
      <c r="AU47" s="1" t="str">
        <f t="shared" si="23"/>
        <v>-</v>
      </c>
      <c r="AV47" s="1" t="str">
        <f t="shared" si="24"/>
        <v>-</v>
      </c>
      <c r="AW47" s="1" t="str">
        <f t="shared" si="25"/>
        <v>-</v>
      </c>
      <c r="AX47" s="1" t="str">
        <f t="shared" si="26"/>
        <v>-</v>
      </c>
    </row>
    <row r="48" spans="1:50" ht="17.100000000000001" customHeight="1">
      <c r="A48" s="10">
        <v>233</v>
      </c>
      <c r="B48" s="53" t="s">
        <v>1196</v>
      </c>
      <c r="C48" s="10" t="s">
        <v>38</v>
      </c>
      <c r="D48" s="69" t="s">
        <v>827</v>
      </c>
      <c r="E48" s="69" t="s">
        <v>1355</v>
      </c>
      <c r="F48" s="70" t="s">
        <v>1489</v>
      </c>
      <c r="G48" s="26" t="s">
        <v>9</v>
      </c>
      <c r="H48" s="8" t="s">
        <v>31</v>
      </c>
      <c r="I48" s="8" t="s">
        <v>64</v>
      </c>
      <c r="J48" s="8" t="s">
        <v>54</v>
      </c>
      <c r="K48" s="9" t="s">
        <v>270</v>
      </c>
      <c r="L48" s="30" t="s">
        <v>545</v>
      </c>
      <c r="M48" s="31">
        <v>3.7288999999999999</v>
      </c>
      <c r="N48" s="563" t="str" cm="1">
        <f t="array" ref="N48">_xlfn.XLOOKUP("?*",U48:Z48&amp;"",$U$3:$Z$3,S48,2,-1)</f>
        <v>R1</v>
      </c>
      <c r="O48" s="565" cm="1">
        <f t="array" ref="O48">_xlfn.XLOOKUP("?*",U48:Z48&amp;"",U48:Z48,T48,2,-1)</f>
        <v>3.5861000000000001</v>
      </c>
      <c r="P48" s="92"/>
      <c r="Q48" s="88"/>
      <c r="R48" s="1"/>
      <c r="S48" s="76" t="s">
        <v>1296</v>
      </c>
      <c r="T48" s="448">
        <v>3.5878999999999999</v>
      </c>
      <c r="U48" s="42"/>
      <c r="V48" s="43">
        <v>3.5861000000000001</v>
      </c>
      <c r="W48" s="43"/>
      <c r="X48" s="43"/>
      <c r="Y48" s="43"/>
      <c r="Z48" s="43"/>
      <c r="AA48" s="44"/>
      <c r="AB48" s="81"/>
      <c r="AC48" s="22"/>
      <c r="AD48" s="444" t="str">
        <f t="shared" si="27"/>
        <v/>
      </c>
      <c r="AE48" s="441">
        <f t="shared" si="28"/>
        <v>1.7999999999998018</v>
      </c>
      <c r="AF48" s="441" t="str">
        <f t="shared" si="29"/>
        <v/>
      </c>
      <c r="AG48" s="478" t="str">
        <f t="shared" si="21"/>
        <v/>
      </c>
      <c r="AH48" s="443" t="str">
        <f t="shared" si="22"/>
        <v/>
      </c>
      <c r="AI48" s="441" t="str">
        <f t="shared" si="17"/>
        <v/>
      </c>
      <c r="AJ48" s="655" t="str">
        <f t="shared" si="18"/>
        <v/>
      </c>
      <c r="AM48" s="477" t="str" cm="1">
        <f t="array" ref="AM48">_xlfn.XLOOKUP("?*",U48:AA48&amp;"",$U$3:$AA$3,S48,2,-1)</f>
        <v>R1</v>
      </c>
      <c r="AN48" s="477" cm="1">
        <f t="array" ref="AN48">_xlfn.XLOOKUP("?*",U48:AA48&amp;"",U48:AA48,T48,2,-1)</f>
        <v>3.5861000000000001</v>
      </c>
      <c r="AO48" s="477" t="str" cm="1">
        <f t="array" ref="AO48">_xlfn.XLOOKUP("?*",U48:Z48&amp;"",$U$3:$Z$3,S48,2,-1)</f>
        <v>R1</v>
      </c>
      <c r="AP48" s="477" cm="1">
        <f t="array" ref="AP48">_xlfn.XLOOKUP("?*",U48:Z48&amp;"",U48:Z48,T48,2,-1)</f>
        <v>3.5861000000000001</v>
      </c>
      <c r="AQ48" s="477" t="str" cm="1">
        <f t="array" ref="AQ48">_xlfn.XLOOKUP("?*",U48:Y48&amp;"",$U$3:$Y$3,S48,2,-1)</f>
        <v>R1</v>
      </c>
      <c r="AR48" s="477" cm="1">
        <f t="array" ref="AR48">_xlfn.XLOOKUP("?*",U48:Y48&amp;"",U48:Y48,T48,2,-1)</f>
        <v>3.5861000000000001</v>
      </c>
      <c r="AS48" s="477" t="str" cm="1">
        <f t="array" ref="AS48">_xlfn.XLOOKUP("?*",U48:X48&amp;"",$U$3:$X$3,S48,2,-1)</f>
        <v>R1</v>
      </c>
      <c r="AT48" s="477" cm="1">
        <f t="array" ref="AT48">_xlfn.XLOOKUP("?*",U48:X48&amp;"",U48:X48,T48,2,-1)</f>
        <v>3.5861000000000001</v>
      </c>
      <c r="AU48" s="1" t="str">
        <f t="shared" si="23"/>
        <v>R1</v>
      </c>
      <c r="AV48" s="1">
        <f t="shared" si="24"/>
        <v>3.5861000000000001</v>
      </c>
      <c r="AW48" s="1" t="str">
        <f t="shared" si="25"/>
        <v>R1</v>
      </c>
      <c r="AX48" s="1">
        <f t="shared" si="26"/>
        <v>3.5861000000000001</v>
      </c>
    </row>
    <row r="49" spans="1:50" ht="17.100000000000001" customHeight="1">
      <c r="A49" s="10">
        <v>301</v>
      </c>
      <c r="B49" s="592">
        <v>8413</v>
      </c>
      <c r="C49" s="10" t="s">
        <v>96</v>
      </c>
      <c r="D49" s="69" t="s">
        <v>558</v>
      </c>
      <c r="E49" s="69" t="s">
        <v>558</v>
      </c>
      <c r="F49" s="70" t="s">
        <v>1415</v>
      </c>
      <c r="G49" s="26" t="s">
        <v>12</v>
      </c>
      <c r="H49" s="8" t="s">
        <v>19</v>
      </c>
      <c r="I49" s="8" t="s">
        <v>541</v>
      </c>
      <c r="J49" s="8" t="s">
        <v>284</v>
      </c>
      <c r="K49" s="9" t="s">
        <v>264</v>
      </c>
      <c r="L49" s="30" t="s">
        <v>543</v>
      </c>
      <c r="M49" s="31">
        <v>13.4011</v>
      </c>
      <c r="N49" s="563" t="str" cm="1">
        <f t="array" ref="N49">_xlfn.XLOOKUP("?*",U49:Z49&amp;"",$U$3:$Z$3,S49,2,-1)</f>
        <v>R2</v>
      </c>
      <c r="O49" s="565" cm="1">
        <f t="array" ref="O49">_xlfn.XLOOKUP("?*",U49:Z49&amp;"",U49:Z49,T49,2,-1)</f>
        <v>13.252000000000001</v>
      </c>
      <c r="P49" s="92"/>
      <c r="Q49" s="88"/>
      <c r="R49" s="1"/>
      <c r="S49" s="76" t="s">
        <v>1299</v>
      </c>
      <c r="T49" s="35">
        <v>13.258599999999999</v>
      </c>
      <c r="U49" s="42">
        <v>13.2562</v>
      </c>
      <c r="V49" s="43">
        <v>13.2529</v>
      </c>
      <c r="W49" s="43">
        <v>13.252000000000001</v>
      </c>
      <c r="X49" s="43"/>
      <c r="Y49" s="43"/>
      <c r="Z49" s="43"/>
      <c r="AA49" s="44"/>
      <c r="AB49" s="81"/>
      <c r="AC49" s="22"/>
      <c r="AD49" s="444">
        <f t="shared" si="27"/>
        <v>2.3999999999997357</v>
      </c>
      <c r="AE49" s="441">
        <f t="shared" si="28"/>
        <v>3.2999999999994145</v>
      </c>
      <c r="AF49" s="441">
        <f t="shared" si="29"/>
        <v>0.89999999999967883</v>
      </c>
      <c r="AG49" s="478" t="str">
        <f t="shared" si="21"/>
        <v/>
      </c>
      <c r="AH49" s="443" t="str">
        <f t="shared" si="22"/>
        <v/>
      </c>
      <c r="AI49" s="441" t="str">
        <f t="shared" si="17"/>
        <v/>
      </c>
      <c r="AJ49" s="655" t="str">
        <f t="shared" si="18"/>
        <v/>
      </c>
      <c r="AM49" s="477" t="str" cm="1">
        <f t="array" ref="AM49">_xlfn.XLOOKUP("?*",U49:AA49&amp;"",$U$3:$AA$3,S49,2,-1)</f>
        <v>R2</v>
      </c>
      <c r="AN49" s="477" cm="1">
        <f t="array" ref="AN49">_xlfn.XLOOKUP("?*",U49:AA49&amp;"",U49:AA49,T49,2,-1)</f>
        <v>13.252000000000001</v>
      </c>
      <c r="AO49" s="477" t="str" cm="1">
        <f t="array" ref="AO49">_xlfn.XLOOKUP("?*",U49:Z49&amp;"",$U$3:$Z$3,S49,2,-1)</f>
        <v>R2</v>
      </c>
      <c r="AP49" s="477" cm="1">
        <f t="array" ref="AP49">_xlfn.XLOOKUP("?*",U49:Z49&amp;"",U49:Z49,T49,2,-1)</f>
        <v>13.252000000000001</v>
      </c>
      <c r="AQ49" s="477" t="str" cm="1">
        <f t="array" ref="AQ49">_xlfn.XLOOKUP("?*",U49:Y49&amp;"",$U$3:$Y$3,S49,2,-1)</f>
        <v>R2</v>
      </c>
      <c r="AR49" s="477" cm="1">
        <f t="array" ref="AR49">_xlfn.XLOOKUP("?*",U49:Y49&amp;"",U49:Y49,T49,2,-1)</f>
        <v>13.252000000000001</v>
      </c>
      <c r="AS49" s="477" t="str" cm="1">
        <f t="array" ref="AS49">_xlfn.XLOOKUP("?*",U49:X49&amp;"",$U$3:$X$3,S49,2,-1)</f>
        <v>R2</v>
      </c>
      <c r="AT49" s="477" cm="1">
        <f t="array" ref="AT49">_xlfn.XLOOKUP("?*",U49:X49&amp;"",U49:X49,T49,2,-1)</f>
        <v>13.252000000000001</v>
      </c>
      <c r="AU49" s="1" t="str">
        <f t="shared" si="23"/>
        <v>R2</v>
      </c>
      <c r="AV49" s="1">
        <f t="shared" si="24"/>
        <v>13.252000000000001</v>
      </c>
      <c r="AW49" s="1" t="str">
        <f t="shared" si="25"/>
        <v>R1</v>
      </c>
      <c r="AX49" s="1">
        <f t="shared" si="26"/>
        <v>13.2529</v>
      </c>
    </row>
    <row r="50" spans="1:50" ht="17.100000000000001" customHeight="1">
      <c r="A50" s="10">
        <v>302</v>
      </c>
      <c r="B50" s="592">
        <v>8414</v>
      </c>
      <c r="C50" s="10" t="s">
        <v>96</v>
      </c>
      <c r="D50" s="69" t="s">
        <v>569</v>
      </c>
      <c r="E50" s="69" t="s">
        <v>569</v>
      </c>
      <c r="F50" s="70" t="s">
        <v>99</v>
      </c>
      <c r="G50" s="26" t="s">
        <v>12</v>
      </c>
      <c r="H50" s="8" t="s">
        <v>73</v>
      </c>
      <c r="I50" s="8" t="s">
        <v>541</v>
      </c>
      <c r="J50" s="8" t="s">
        <v>539</v>
      </c>
      <c r="K50" s="9" t="s">
        <v>264</v>
      </c>
      <c r="L50" s="30" t="s">
        <v>543</v>
      </c>
      <c r="M50" s="31">
        <v>8.9693000000000005</v>
      </c>
      <c r="N50" s="563" t="str" cm="1">
        <f t="array" ref="N50">_xlfn.XLOOKUP("?*",U50:Z50&amp;"",$U$3:$Z$3,S50,2,-1)</f>
        <v>H30</v>
      </c>
      <c r="O50" s="565" cm="1">
        <f t="array" ref="O50">_xlfn.XLOOKUP("?*",U50:Z50&amp;"",U50:Z50,T50,2,-1)</f>
        <v>8.8207000000000004</v>
      </c>
      <c r="P50" s="93"/>
      <c r="Q50" s="88"/>
      <c r="R50" s="1"/>
      <c r="S50" s="77" t="s">
        <v>1296</v>
      </c>
      <c r="T50" s="35">
        <v>8.8240999999999996</v>
      </c>
      <c r="U50" s="42">
        <v>8.8207000000000004</v>
      </c>
      <c r="V50" s="43"/>
      <c r="W50" s="43"/>
      <c r="X50" s="43"/>
      <c r="Y50" s="43"/>
      <c r="Z50" s="43"/>
      <c r="AA50" s="44"/>
      <c r="AB50" s="82"/>
      <c r="AC50" s="22"/>
      <c r="AD50" s="444">
        <f t="shared" si="27"/>
        <v>3.3999999999991815</v>
      </c>
      <c r="AE50" s="441" t="str">
        <f t="shared" si="28"/>
        <v/>
      </c>
      <c r="AF50" s="441" t="str">
        <f t="shared" si="29"/>
        <v/>
      </c>
      <c r="AG50" s="478" t="str">
        <f t="shared" si="21"/>
        <v/>
      </c>
      <c r="AH50" s="443" t="str">
        <f t="shared" si="22"/>
        <v/>
      </c>
      <c r="AI50" s="441" t="str">
        <f t="shared" si="17"/>
        <v/>
      </c>
      <c r="AJ50" s="655" t="str">
        <f t="shared" si="18"/>
        <v/>
      </c>
      <c r="AM50" s="477" t="str" cm="1">
        <f t="array" ref="AM50">_xlfn.XLOOKUP("?*",U50:AA50&amp;"",$U$3:$AA$3,S50,2,-1)</f>
        <v>H30</v>
      </c>
      <c r="AN50" s="477" cm="1">
        <f t="array" ref="AN50">_xlfn.XLOOKUP("?*",U50:AA50&amp;"",U50:AA50,T50,2,-1)</f>
        <v>8.8207000000000004</v>
      </c>
      <c r="AO50" s="477" t="str" cm="1">
        <f t="array" ref="AO50">_xlfn.XLOOKUP("?*",U50:Z50&amp;"",$U$3:$Z$3,S50,2,-1)</f>
        <v>H30</v>
      </c>
      <c r="AP50" s="477" cm="1">
        <f t="array" ref="AP50">_xlfn.XLOOKUP("?*",U50:Z50&amp;"",U50:Z50,T50,2,-1)</f>
        <v>8.8207000000000004</v>
      </c>
      <c r="AQ50" s="477" t="str" cm="1">
        <f t="array" ref="AQ50">_xlfn.XLOOKUP("?*",U50:Y50&amp;"",$U$3:$Y$3,S50,2,-1)</f>
        <v>H30</v>
      </c>
      <c r="AR50" s="477" cm="1">
        <f t="array" ref="AR50">_xlfn.XLOOKUP("?*",U50:Y50&amp;"",U50:Y50,T50,2,-1)</f>
        <v>8.8207000000000004</v>
      </c>
      <c r="AS50" s="477" t="str" cm="1">
        <f t="array" ref="AS50">_xlfn.XLOOKUP("?*",U50:X50&amp;"",$U$3:$X$3,S50,2,-1)</f>
        <v>H30</v>
      </c>
      <c r="AT50" s="477" cm="1">
        <f t="array" ref="AT50">_xlfn.XLOOKUP("?*",U50:X50&amp;"",U50:X50,T50,2,-1)</f>
        <v>8.8207000000000004</v>
      </c>
      <c r="AU50" s="1" t="str">
        <f t="shared" si="23"/>
        <v>H30</v>
      </c>
      <c r="AV50" s="1">
        <f t="shared" si="24"/>
        <v>8.8207000000000004</v>
      </c>
      <c r="AW50" s="1" t="str">
        <f t="shared" si="25"/>
        <v>H30</v>
      </c>
      <c r="AX50" s="1">
        <f t="shared" si="26"/>
        <v>8.8207000000000004</v>
      </c>
    </row>
    <row r="51" spans="1:50" ht="17.100000000000001" customHeight="1">
      <c r="A51" s="10">
        <v>303</v>
      </c>
      <c r="B51" s="53" t="s">
        <v>403</v>
      </c>
      <c r="C51" s="10" t="s">
        <v>96</v>
      </c>
      <c r="D51" s="69" t="s">
        <v>100</v>
      </c>
      <c r="E51" s="69" t="s">
        <v>100</v>
      </c>
      <c r="F51" s="70" t="s">
        <v>1416</v>
      </c>
      <c r="G51" s="26" t="s">
        <v>9</v>
      </c>
      <c r="H51" s="8" t="s">
        <v>10</v>
      </c>
      <c r="I51" s="8" t="s">
        <v>541</v>
      </c>
      <c r="J51" s="8" t="s">
        <v>539</v>
      </c>
      <c r="K51" s="9" t="s">
        <v>270</v>
      </c>
      <c r="L51" s="30" t="s">
        <v>543</v>
      </c>
      <c r="M51" s="31">
        <v>9.6798000000000002</v>
      </c>
      <c r="N51" s="563" t="str" cm="1">
        <f t="array" ref="N51">_xlfn.XLOOKUP("?*",U51:Z51&amp;"",$U$3:$Z$3,S51,2,-1)</f>
        <v>R5</v>
      </c>
      <c r="O51" s="565" cm="1">
        <f t="array" ref="O51">_xlfn.XLOOKUP("?*",U51:Z51&amp;"",U51:Z51,T51,2,-1)</f>
        <v>9.5541</v>
      </c>
      <c r="P51" s="93"/>
      <c r="Q51" s="88"/>
      <c r="R51" s="1"/>
      <c r="S51" s="77" t="s">
        <v>1307</v>
      </c>
      <c r="T51" s="35">
        <v>9.5663999999999998</v>
      </c>
      <c r="U51" s="42"/>
      <c r="V51" s="43"/>
      <c r="W51" s="43"/>
      <c r="X51" s="43"/>
      <c r="Y51" s="43"/>
      <c r="Z51" s="43">
        <v>9.5541</v>
      </c>
      <c r="AA51" s="44"/>
      <c r="AB51" s="82"/>
      <c r="AC51" s="22"/>
      <c r="AD51" s="444" t="str">
        <f t="shared" si="27"/>
        <v/>
      </c>
      <c r="AE51" s="441" t="str">
        <f t="shared" si="28"/>
        <v/>
      </c>
      <c r="AF51" s="441" t="str">
        <f t="shared" si="29"/>
        <v/>
      </c>
      <c r="AG51" s="478" t="str">
        <f t="shared" si="21"/>
        <v/>
      </c>
      <c r="AH51" s="443" t="str">
        <f t="shared" si="22"/>
        <v/>
      </c>
      <c r="AI51" s="441">
        <f t="shared" si="17"/>
        <v>12.299999999999756</v>
      </c>
      <c r="AJ51" s="655" t="str">
        <f t="shared" si="18"/>
        <v/>
      </c>
      <c r="AM51" s="477" t="str" cm="1">
        <f t="array" ref="AM51">_xlfn.XLOOKUP("?*",U51:AA51&amp;"",$U$3:$AA$3,S51,2,-1)</f>
        <v>R5</v>
      </c>
      <c r="AN51" s="477" cm="1">
        <f t="array" ref="AN51">_xlfn.XLOOKUP("?*",U51:AA51&amp;"",U51:AA51,T51,2,-1)</f>
        <v>9.5541</v>
      </c>
      <c r="AO51" s="477" t="str" cm="1">
        <f t="array" ref="AO51">_xlfn.XLOOKUP("?*",U51:Z51&amp;"",$U$3:$Z$3,S51,2,-1)</f>
        <v>R5</v>
      </c>
      <c r="AP51" s="477" cm="1">
        <f t="array" ref="AP51">_xlfn.XLOOKUP("?*",U51:Z51&amp;"",U51:Z51,T51,2,-1)</f>
        <v>9.5541</v>
      </c>
      <c r="AQ51" s="477" t="str" cm="1">
        <f t="array" ref="AQ51">_xlfn.XLOOKUP("?*",U51:Y51&amp;"",$U$3:$Y$3,S51,2,-1)</f>
        <v>H29</v>
      </c>
      <c r="AR51" s="477" cm="1">
        <f t="array" ref="AR51">_xlfn.XLOOKUP("?*",U51:Y51&amp;"",U51:Y51,T51,2,-1)</f>
        <v>9.5663999999999998</v>
      </c>
      <c r="AS51" s="477" t="str" cm="1">
        <f t="array" ref="AS51">_xlfn.XLOOKUP("?*",U51:X51&amp;"",$U$3:$X$3,S51,2,-1)</f>
        <v>H29</v>
      </c>
      <c r="AT51" s="477" cm="1">
        <f t="array" ref="AT51">_xlfn.XLOOKUP("?*",U51:X51&amp;"",U51:X51,T51,2,-1)</f>
        <v>9.5663999999999998</v>
      </c>
      <c r="AU51" s="1" t="str">
        <f t="shared" si="23"/>
        <v>H29</v>
      </c>
      <c r="AV51" s="1">
        <f t="shared" si="24"/>
        <v>9.5663999999999998</v>
      </c>
      <c r="AW51" s="1" t="str">
        <f t="shared" si="25"/>
        <v>H29</v>
      </c>
      <c r="AX51" s="1">
        <f t="shared" si="26"/>
        <v>9.5663999999999998</v>
      </c>
    </row>
    <row r="52" spans="1:50" ht="17.100000000000001" customHeight="1">
      <c r="A52" s="10">
        <v>304</v>
      </c>
      <c r="B52" s="53" t="s">
        <v>381</v>
      </c>
      <c r="C52" s="10" t="s">
        <v>96</v>
      </c>
      <c r="D52" s="69" t="s">
        <v>655</v>
      </c>
      <c r="E52" s="69" t="s">
        <v>655</v>
      </c>
      <c r="F52" s="70" t="s">
        <v>102</v>
      </c>
      <c r="G52" s="26" t="s">
        <v>9</v>
      </c>
      <c r="H52" s="8" t="s">
        <v>19</v>
      </c>
      <c r="I52" s="8" t="s">
        <v>541</v>
      </c>
      <c r="J52" s="8" t="s">
        <v>539</v>
      </c>
      <c r="K52" s="9" t="s">
        <v>264</v>
      </c>
      <c r="L52" s="30" t="s">
        <v>543</v>
      </c>
      <c r="M52" s="31">
        <v>9.4481000000000002</v>
      </c>
      <c r="N52" s="563" t="str" cm="1">
        <f t="array" ref="N52">_xlfn.XLOOKUP("?*",U52:Z52&amp;"",$U$3:$Z$3,S52,2,-1)</f>
        <v>H30</v>
      </c>
      <c r="O52" s="565" cm="1">
        <f t="array" ref="O52">_xlfn.XLOOKUP("?*",U52:Z52&amp;"",U52:Z52,T52,2,-1)</f>
        <v>9.3439999999999994</v>
      </c>
      <c r="P52" s="93"/>
      <c r="Q52" s="88"/>
      <c r="R52" s="1"/>
      <c r="S52" s="77" t="s">
        <v>1299</v>
      </c>
      <c r="T52" s="35">
        <v>9.3465000000000007</v>
      </c>
      <c r="U52" s="42">
        <v>9.3439999999999994</v>
      </c>
      <c r="V52" s="43"/>
      <c r="W52" s="43"/>
      <c r="X52" s="43"/>
      <c r="Y52" s="43"/>
      <c r="Z52" s="43"/>
      <c r="AA52" s="44"/>
      <c r="AB52" s="82"/>
      <c r="AC52" s="22"/>
      <c r="AD52" s="444">
        <f t="shared" si="27"/>
        <v>2.500000000001279</v>
      </c>
      <c r="AE52" s="441" t="str">
        <f t="shared" si="28"/>
        <v/>
      </c>
      <c r="AF52" s="441" t="str">
        <f t="shared" si="29"/>
        <v/>
      </c>
      <c r="AG52" s="478" t="str">
        <f t="shared" si="21"/>
        <v/>
      </c>
      <c r="AH52" s="443" t="str">
        <f t="shared" si="22"/>
        <v/>
      </c>
      <c r="AI52" s="441" t="str">
        <f t="shared" si="17"/>
        <v/>
      </c>
      <c r="AJ52" s="655" t="str">
        <f t="shared" si="18"/>
        <v/>
      </c>
      <c r="AM52" s="477" t="str" cm="1">
        <f t="array" ref="AM52">_xlfn.XLOOKUP("?*",U52:AA52&amp;"",$U$3:$AA$3,S52,2,-1)</f>
        <v>H30</v>
      </c>
      <c r="AN52" s="477" cm="1">
        <f t="array" ref="AN52">_xlfn.XLOOKUP("?*",U52:AA52&amp;"",U52:AA52,T52,2,-1)</f>
        <v>9.3439999999999994</v>
      </c>
      <c r="AO52" s="477" t="str" cm="1">
        <f t="array" ref="AO52">_xlfn.XLOOKUP("?*",U52:Z52&amp;"",$U$3:$Z$3,S52,2,-1)</f>
        <v>H30</v>
      </c>
      <c r="AP52" s="477" cm="1">
        <f t="array" ref="AP52">_xlfn.XLOOKUP("?*",U52:Z52&amp;"",U52:Z52,T52,2,-1)</f>
        <v>9.3439999999999994</v>
      </c>
      <c r="AQ52" s="477" t="str" cm="1">
        <f t="array" ref="AQ52">_xlfn.XLOOKUP("?*",U52:Y52&amp;"",$U$3:$Y$3,S52,2,-1)</f>
        <v>H30</v>
      </c>
      <c r="AR52" s="477" cm="1">
        <f t="array" ref="AR52">_xlfn.XLOOKUP("?*",U52:Y52&amp;"",U52:Y52,T52,2,-1)</f>
        <v>9.3439999999999994</v>
      </c>
      <c r="AS52" s="477" t="str" cm="1">
        <f t="array" ref="AS52">_xlfn.XLOOKUP("?*",U52:X52&amp;"",$U$3:$X$3,S52,2,-1)</f>
        <v>H30</v>
      </c>
      <c r="AT52" s="477" cm="1">
        <f t="array" ref="AT52">_xlfn.XLOOKUP("?*",U52:X52&amp;"",U52:X52,T52,2,-1)</f>
        <v>9.3439999999999994</v>
      </c>
      <c r="AU52" s="1" t="str">
        <f t="shared" si="23"/>
        <v>H30</v>
      </c>
      <c r="AV52" s="1">
        <f t="shared" si="24"/>
        <v>9.3439999999999994</v>
      </c>
      <c r="AW52" s="1" t="str">
        <f t="shared" si="25"/>
        <v>H30</v>
      </c>
      <c r="AX52" s="1">
        <f t="shared" si="26"/>
        <v>9.3439999999999994</v>
      </c>
    </row>
    <row r="53" spans="1:50" ht="17.100000000000001" customHeight="1">
      <c r="A53" s="10">
        <v>305</v>
      </c>
      <c r="B53" s="53" t="s">
        <v>401</v>
      </c>
      <c r="C53" s="10" t="s">
        <v>96</v>
      </c>
      <c r="D53" s="69" t="s">
        <v>103</v>
      </c>
      <c r="E53" s="69" t="s">
        <v>103</v>
      </c>
      <c r="F53" s="70" t="s">
        <v>104</v>
      </c>
      <c r="G53" s="26" t="s">
        <v>9</v>
      </c>
      <c r="H53" s="8" t="s">
        <v>10</v>
      </c>
      <c r="I53" s="8" t="s">
        <v>541</v>
      </c>
      <c r="J53" s="8" t="s">
        <v>54</v>
      </c>
      <c r="K53" s="9" t="s">
        <v>264</v>
      </c>
      <c r="L53" s="30" t="s">
        <v>543</v>
      </c>
      <c r="M53" s="31">
        <v>7.7347000000000001</v>
      </c>
      <c r="N53" s="563" t="str" cm="1">
        <f t="array" ref="N53">_xlfn.XLOOKUP("?*",U53:Z53&amp;"",$U$3:$Z$3,S53,2,-1)</f>
        <v>R4</v>
      </c>
      <c r="O53" s="565" cm="1">
        <f t="array" ref="O53">_xlfn.XLOOKUP("?*",U53:Z53&amp;"",U53:Z53,T53,2,-1)</f>
        <v>7.5693000000000001</v>
      </c>
      <c r="P53" s="93"/>
      <c r="Q53" s="88"/>
      <c r="R53" s="1"/>
      <c r="S53" s="77" t="s">
        <v>1299</v>
      </c>
      <c r="T53" s="35">
        <v>7.6006999999999998</v>
      </c>
      <c r="U53" s="42"/>
      <c r="V53" s="43"/>
      <c r="W53" s="43"/>
      <c r="X53" s="43"/>
      <c r="Y53" s="43">
        <v>7.5693000000000001</v>
      </c>
      <c r="Z53" s="43"/>
      <c r="AA53" s="44"/>
      <c r="AB53" s="82"/>
      <c r="AC53" s="22"/>
      <c r="AD53" s="444" t="str">
        <f t="shared" si="27"/>
        <v/>
      </c>
      <c r="AE53" s="441" t="str">
        <f t="shared" si="28"/>
        <v/>
      </c>
      <c r="AF53" s="441" t="str">
        <f t="shared" si="29"/>
        <v/>
      </c>
      <c r="AG53" s="478" t="str">
        <f t="shared" si="21"/>
        <v/>
      </c>
      <c r="AH53" s="443">
        <f t="shared" si="22"/>
        <v>31.39999999999965</v>
      </c>
      <c r="AI53" s="441" t="str">
        <f t="shared" si="17"/>
        <v/>
      </c>
      <c r="AJ53" s="655" t="str">
        <f t="shared" si="18"/>
        <v/>
      </c>
      <c r="AM53" s="477" t="str" cm="1">
        <f t="array" ref="AM53">_xlfn.XLOOKUP("?*",U53:AA53&amp;"",$U$3:$AA$3,S53,2,-1)</f>
        <v>R4</v>
      </c>
      <c r="AN53" s="477" cm="1">
        <f t="array" ref="AN53">_xlfn.XLOOKUP("?*",U53:AA53&amp;"",U53:AA53,T53,2,-1)</f>
        <v>7.5693000000000001</v>
      </c>
      <c r="AO53" s="477" t="str" cm="1">
        <f t="array" ref="AO53">_xlfn.XLOOKUP("?*",U53:Z53&amp;"",$U$3:$Z$3,S53,2,-1)</f>
        <v>R4</v>
      </c>
      <c r="AP53" s="477" cm="1">
        <f t="array" ref="AP53">_xlfn.XLOOKUP("?*",U53:Z53&amp;"",U53:Z53,T53,2,-1)</f>
        <v>7.5693000000000001</v>
      </c>
      <c r="AQ53" s="477" t="str" cm="1">
        <f t="array" ref="AQ53">_xlfn.XLOOKUP("?*",U53:Y53&amp;"",$U$3:$Y$3,S53,2,-1)</f>
        <v>R4</v>
      </c>
      <c r="AR53" s="477" cm="1">
        <f t="array" ref="AR53">_xlfn.XLOOKUP("?*",U53:Y53&amp;"",U53:Y53,T53,2,-1)</f>
        <v>7.5693000000000001</v>
      </c>
      <c r="AS53" s="477" t="str" cm="1">
        <f t="array" ref="AS53">_xlfn.XLOOKUP("?*",U53:X53&amp;"",$U$3:$X$3,S53,2,-1)</f>
        <v>H29</v>
      </c>
      <c r="AT53" s="477" cm="1">
        <f t="array" ref="AT53">_xlfn.XLOOKUP("?*",U53:X53&amp;"",U53:X53,T53,2,-1)</f>
        <v>7.6006999999999998</v>
      </c>
      <c r="AU53" s="1" t="str">
        <f t="shared" si="23"/>
        <v>H29</v>
      </c>
      <c r="AV53" s="1">
        <f t="shared" si="24"/>
        <v>7.6006999999999998</v>
      </c>
      <c r="AW53" s="1" t="str">
        <f t="shared" si="25"/>
        <v>H29</v>
      </c>
      <c r="AX53" s="1">
        <f t="shared" si="26"/>
        <v>7.6006999999999998</v>
      </c>
    </row>
    <row r="54" spans="1:50" ht="17.100000000000001" customHeight="1">
      <c r="A54" s="10">
        <v>306</v>
      </c>
      <c r="B54" s="53" t="s">
        <v>380</v>
      </c>
      <c r="C54" s="10" t="s">
        <v>96</v>
      </c>
      <c r="D54" s="69" t="s">
        <v>570</v>
      </c>
      <c r="E54" s="69" t="s">
        <v>570</v>
      </c>
      <c r="F54" s="70" t="s">
        <v>105</v>
      </c>
      <c r="G54" s="26" t="s">
        <v>9</v>
      </c>
      <c r="H54" s="8" t="s">
        <v>19</v>
      </c>
      <c r="I54" s="8" t="s">
        <v>541</v>
      </c>
      <c r="J54" s="8" t="s">
        <v>54</v>
      </c>
      <c r="K54" s="9" t="s">
        <v>264</v>
      </c>
      <c r="L54" s="30" t="s">
        <v>543</v>
      </c>
      <c r="M54" s="31">
        <v>7.1002999999999998</v>
      </c>
      <c r="N54" s="563" t="str" cm="1">
        <f t="array" ref="N54">_xlfn.XLOOKUP("?*",U54:Z54&amp;"",$U$3:$Z$3,S54,2,-1)</f>
        <v>H30</v>
      </c>
      <c r="O54" s="565" cm="1">
        <f t="array" ref="O54">_xlfn.XLOOKUP("?*",U54:Z54&amp;"",U54:Z54,T54,2,-1)</f>
        <v>6.9653</v>
      </c>
      <c r="P54" s="93"/>
      <c r="Q54" s="88"/>
      <c r="R54" s="1"/>
      <c r="S54" s="77" t="s">
        <v>1296</v>
      </c>
      <c r="T54" s="35">
        <v>6.9710000000000001</v>
      </c>
      <c r="U54" s="42">
        <v>6.9653</v>
      </c>
      <c r="V54" s="43"/>
      <c r="W54" s="43"/>
      <c r="X54" s="43"/>
      <c r="Y54" s="43"/>
      <c r="Z54" s="43"/>
      <c r="AA54" s="44"/>
      <c r="AB54" s="82"/>
      <c r="AC54" s="22"/>
      <c r="AD54" s="444">
        <f t="shared" si="27"/>
        <v>5.7000000000000384</v>
      </c>
      <c r="AE54" s="441" t="str">
        <f t="shared" si="28"/>
        <v/>
      </c>
      <c r="AF54" s="441" t="str">
        <f t="shared" si="29"/>
        <v/>
      </c>
      <c r="AG54" s="478" t="str">
        <f t="shared" si="21"/>
        <v/>
      </c>
      <c r="AH54" s="443" t="str">
        <f t="shared" si="22"/>
        <v/>
      </c>
      <c r="AI54" s="441" t="str">
        <f t="shared" si="17"/>
        <v/>
      </c>
      <c r="AJ54" s="655" t="str">
        <f t="shared" si="18"/>
        <v/>
      </c>
      <c r="AM54" s="477" t="str" cm="1">
        <f t="array" ref="AM54">_xlfn.XLOOKUP("?*",U54:AA54&amp;"",$U$3:$AA$3,S54,2,-1)</f>
        <v>H30</v>
      </c>
      <c r="AN54" s="477" cm="1">
        <f t="array" ref="AN54">_xlfn.XLOOKUP("?*",U54:AA54&amp;"",U54:AA54,T54,2,-1)</f>
        <v>6.9653</v>
      </c>
      <c r="AO54" s="477" t="str" cm="1">
        <f t="array" ref="AO54">_xlfn.XLOOKUP("?*",U54:Z54&amp;"",$U$3:$Z$3,S54,2,-1)</f>
        <v>H30</v>
      </c>
      <c r="AP54" s="477" cm="1">
        <f t="array" ref="AP54">_xlfn.XLOOKUP("?*",U54:Z54&amp;"",U54:Z54,T54,2,-1)</f>
        <v>6.9653</v>
      </c>
      <c r="AQ54" s="477" t="str" cm="1">
        <f t="array" ref="AQ54">_xlfn.XLOOKUP("?*",U54:Y54&amp;"",$U$3:$Y$3,S54,2,-1)</f>
        <v>H30</v>
      </c>
      <c r="AR54" s="477" cm="1">
        <f t="array" ref="AR54">_xlfn.XLOOKUP("?*",U54:Y54&amp;"",U54:Y54,T54,2,-1)</f>
        <v>6.9653</v>
      </c>
      <c r="AS54" s="477" t="str" cm="1">
        <f t="array" ref="AS54">_xlfn.XLOOKUP("?*",U54:X54&amp;"",$U$3:$X$3,S54,2,-1)</f>
        <v>H30</v>
      </c>
      <c r="AT54" s="477" cm="1">
        <f t="array" ref="AT54">_xlfn.XLOOKUP("?*",U54:X54&amp;"",U54:X54,T54,2,-1)</f>
        <v>6.9653</v>
      </c>
      <c r="AU54" s="1" t="str">
        <f t="shared" si="23"/>
        <v>H30</v>
      </c>
      <c r="AV54" s="1">
        <f t="shared" si="24"/>
        <v>6.9653</v>
      </c>
      <c r="AW54" s="1" t="str">
        <f t="shared" si="25"/>
        <v>H30</v>
      </c>
      <c r="AX54" s="1">
        <f t="shared" si="26"/>
        <v>6.9653</v>
      </c>
    </row>
    <row r="55" spans="1:50" ht="17.100000000000001" customHeight="1">
      <c r="A55" s="10">
        <v>307</v>
      </c>
      <c r="B55" s="53" t="s">
        <v>378</v>
      </c>
      <c r="C55" s="10" t="s">
        <v>96</v>
      </c>
      <c r="D55" s="69" t="s">
        <v>656</v>
      </c>
      <c r="E55" s="69" t="s">
        <v>656</v>
      </c>
      <c r="F55" s="70" t="s">
        <v>106</v>
      </c>
      <c r="G55" s="26" t="s">
        <v>9</v>
      </c>
      <c r="H55" s="8" t="s">
        <v>19</v>
      </c>
      <c r="I55" s="8" t="s">
        <v>541</v>
      </c>
      <c r="J55" s="8" t="s">
        <v>54</v>
      </c>
      <c r="K55" s="9" t="s">
        <v>264</v>
      </c>
      <c r="L55" s="30" t="s">
        <v>543</v>
      </c>
      <c r="M55" s="31">
        <v>6.1250999999999998</v>
      </c>
      <c r="N55" s="563" t="str" cm="1">
        <f t="array" ref="N55">_xlfn.XLOOKUP("?*",U55:Z55&amp;"",$U$3:$Z$3,S55,2,-1)</f>
        <v>H29</v>
      </c>
      <c r="O55" s="565" cm="1">
        <f t="array" ref="O55">_xlfn.XLOOKUP("?*",U55:Z55&amp;"",U55:Z55,T55,2,-1)</f>
        <v>6.0046999999999997</v>
      </c>
      <c r="P55" s="93"/>
      <c r="Q55" s="88"/>
      <c r="R55" s="1"/>
      <c r="S55" s="77" t="s">
        <v>1299</v>
      </c>
      <c r="T55" s="35">
        <v>6.0046999999999997</v>
      </c>
      <c r="U55" s="42"/>
      <c r="V55" s="43"/>
      <c r="W55" s="43"/>
      <c r="X55" s="43"/>
      <c r="Y55" s="43"/>
      <c r="Z55" s="43"/>
      <c r="AA55" s="44"/>
      <c r="AB55" s="82"/>
      <c r="AC55" s="22"/>
      <c r="AD55" s="444" t="str">
        <f t="shared" si="27"/>
        <v/>
      </c>
      <c r="AE55" s="441" t="str">
        <f t="shared" si="28"/>
        <v/>
      </c>
      <c r="AF55" s="441" t="str">
        <f t="shared" si="29"/>
        <v/>
      </c>
      <c r="AG55" s="478" t="str">
        <f t="shared" si="21"/>
        <v/>
      </c>
      <c r="AH55" s="443" t="str">
        <f t="shared" si="22"/>
        <v/>
      </c>
      <c r="AI55" s="441" t="str">
        <f t="shared" si="17"/>
        <v/>
      </c>
      <c r="AJ55" s="655" t="str">
        <f t="shared" si="18"/>
        <v/>
      </c>
      <c r="AM55" s="477" t="str" cm="1">
        <f t="array" ref="AM55">_xlfn.XLOOKUP("?*",U55:AA55&amp;"",$U$3:$AA$3,S55,2,-1)</f>
        <v>H29</v>
      </c>
      <c r="AN55" s="477" cm="1">
        <f t="array" ref="AN55">_xlfn.XLOOKUP("?*",U55:AA55&amp;"",U55:AA55,T55,2,-1)</f>
        <v>6.0046999999999997</v>
      </c>
      <c r="AO55" s="477" t="str" cm="1">
        <f t="array" ref="AO55">_xlfn.XLOOKUP("?*",U55:Z55&amp;"",$U$3:$Z$3,S55,2,-1)</f>
        <v>H29</v>
      </c>
      <c r="AP55" s="477" cm="1">
        <f t="array" ref="AP55">_xlfn.XLOOKUP("?*",U55:Z55&amp;"",U55:Z55,T55,2,-1)</f>
        <v>6.0046999999999997</v>
      </c>
      <c r="AQ55" s="477" t="str" cm="1">
        <f t="array" ref="AQ55">_xlfn.XLOOKUP("?*",U55:Y55&amp;"",$U$3:$Y$3,S55,2,-1)</f>
        <v>H29</v>
      </c>
      <c r="AR55" s="477" cm="1">
        <f t="array" ref="AR55">_xlfn.XLOOKUP("?*",U55:Y55&amp;"",U55:Y55,T55,2,-1)</f>
        <v>6.0046999999999997</v>
      </c>
      <c r="AS55" s="477" t="str" cm="1">
        <f t="array" ref="AS55">_xlfn.XLOOKUP("?*",U55:X55&amp;"",$U$3:$X$3,S55,2,-1)</f>
        <v>H29</v>
      </c>
      <c r="AT55" s="477" cm="1">
        <f t="array" ref="AT55">_xlfn.XLOOKUP("?*",U55:X55&amp;"",U55:X55,T55,2,-1)</f>
        <v>6.0046999999999997</v>
      </c>
      <c r="AU55" s="1" t="str">
        <f t="shared" si="23"/>
        <v>H29</v>
      </c>
      <c r="AV55" s="1">
        <f t="shared" si="24"/>
        <v>6.0046999999999997</v>
      </c>
      <c r="AW55" s="1" t="str">
        <f t="shared" si="25"/>
        <v>H29</v>
      </c>
      <c r="AX55" s="1">
        <f t="shared" si="26"/>
        <v>6.0046999999999997</v>
      </c>
    </row>
    <row r="56" spans="1:50" ht="17.100000000000001" customHeight="1">
      <c r="A56" s="10">
        <v>308</v>
      </c>
      <c r="B56" s="53" t="s">
        <v>376</v>
      </c>
      <c r="C56" s="10" t="s">
        <v>96</v>
      </c>
      <c r="D56" s="69" t="s">
        <v>107</v>
      </c>
      <c r="E56" s="69" t="s">
        <v>107</v>
      </c>
      <c r="F56" s="70" t="s">
        <v>108</v>
      </c>
      <c r="G56" s="26" t="s">
        <v>9</v>
      </c>
      <c r="H56" s="8" t="s">
        <v>10</v>
      </c>
      <c r="I56" s="8" t="s">
        <v>541</v>
      </c>
      <c r="J56" s="8" t="s">
        <v>539</v>
      </c>
      <c r="K56" s="9" t="s">
        <v>264</v>
      </c>
      <c r="L56" s="30" t="s">
        <v>543</v>
      </c>
      <c r="M56" s="31">
        <v>6.0396000000000001</v>
      </c>
      <c r="N56" s="563" t="str" cm="1">
        <f t="array" ref="N56">_xlfn.XLOOKUP("?*",U56:Z56&amp;"",$U$3:$Z$3,S56,2,-1)</f>
        <v>R4</v>
      </c>
      <c r="O56" s="565" cm="1">
        <f t="array" ref="O56">_xlfn.XLOOKUP("?*",U56:Z56&amp;"",U56:Z56,T56,2,-1)</f>
        <v>5.9050000000000002</v>
      </c>
      <c r="P56" s="92"/>
      <c r="Q56" s="88"/>
      <c r="R56" s="1"/>
      <c r="S56" s="76" t="s">
        <v>1296</v>
      </c>
      <c r="T56" s="35">
        <v>5.9173999999999998</v>
      </c>
      <c r="U56" s="42"/>
      <c r="V56" s="43">
        <v>5.9116</v>
      </c>
      <c r="W56" s="43"/>
      <c r="X56" s="43"/>
      <c r="Y56" s="43">
        <v>5.9050000000000002</v>
      </c>
      <c r="Z56" s="43"/>
      <c r="AA56" s="44"/>
      <c r="AB56" s="81"/>
      <c r="AC56" s="22"/>
      <c r="AD56" s="444" t="str">
        <f t="shared" si="27"/>
        <v/>
      </c>
      <c r="AE56" s="441">
        <f t="shared" si="28"/>
        <v>5.7999999999998053</v>
      </c>
      <c r="AF56" s="441" t="str">
        <f t="shared" si="29"/>
        <v/>
      </c>
      <c r="AG56" s="478" t="str">
        <f t="shared" si="21"/>
        <v/>
      </c>
      <c r="AH56" s="443">
        <f t="shared" si="22"/>
        <v>6.5999999999997172</v>
      </c>
      <c r="AI56" s="441" t="str">
        <f t="shared" si="17"/>
        <v/>
      </c>
      <c r="AJ56" s="655" t="str">
        <f t="shared" si="18"/>
        <v/>
      </c>
      <c r="AM56" s="477" t="str" cm="1">
        <f t="array" ref="AM56">_xlfn.XLOOKUP("?*",U56:AA56&amp;"",$U$3:$AA$3,S56,2,-1)</f>
        <v>R4</v>
      </c>
      <c r="AN56" s="477" cm="1">
        <f t="array" ref="AN56">_xlfn.XLOOKUP("?*",U56:AA56&amp;"",U56:AA56,T56,2,-1)</f>
        <v>5.9050000000000002</v>
      </c>
      <c r="AO56" s="477" t="str" cm="1">
        <f t="array" ref="AO56">_xlfn.XLOOKUP("?*",U56:Z56&amp;"",$U$3:$Z$3,S56,2,-1)</f>
        <v>R4</v>
      </c>
      <c r="AP56" s="477" cm="1">
        <f t="array" ref="AP56">_xlfn.XLOOKUP("?*",U56:Z56&amp;"",U56:Z56,T56,2,-1)</f>
        <v>5.9050000000000002</v>
      </c>
      <c r="AQ56" s="477" t="str" cm="1">
        <f t="array" ref="AQ56">_xlfn.XLOOKUP("?*",U56:Y56&amp;"",$U$3:$Y$3,S56,2,-1)</f>
        <v>R4</v>
      </c>
      <c r="AR56" s="477" cm="1">
        <f t="array" ref="AR56">_xlfn.XLOOKUP("?*",U56:Y56&amp;"",U56:Y56,T56,2,-1)</f>
        <v>5.9050000000000002</v>
      </c>
      <c r="AS56" s="477" t="str" cm="1">
        <f t="array" ref="AS56">_xlfn.XLOOKUP("?*",U56:X56&amp;"",$U$3:$X$3,S56,2,-1)</f>
        <v>R1</v>
      </c>
      <c r="AT56" s="477" cm="1">
        <f t="array" ref="AT56">_xlfn.XLOOKUP("?*",U56:X56&amp;"",U56:X56,T56,2,-1)</f>
        <v>5.9116</v>
      </c>
      <c r="AU56" s="1" t="str">
        <f t="shared" si="23"/>
        <v>R1</v>
      </c>
      <c r="AV56" s="1">
        <f t="shared" si="24"/>
        <v>5.9116</v>
      </c>
      <c r="AW56" s="1" t="str">
        <f t="shared" si="25"/>
        <v>R1</v>
      </c>
      <c r="AX56" s="1">
        <f t="shared" si="26"/>
        <v>5.9116</v>
      </c>
    </row>
    <row r="57" spans="1:50" ht="17.100000000000001" customHeight="1">
      <c r="A57" s="10">
        <v>309</v>
      </c>
      <c r="B57" s="53" t="s">
        <v>375</v>
      </c>
      <c r="C57" s="10" t="s">
        <v>96</v>
      </c>
      <c r="D57" s="69" t="s">
        <v>684</v>
      </c>
      <c r="E57" s="69" t="s">
        <v>684</v>
      </c>
      <c r="F57" s="70" t="s">
        <v>109</v>
      </c>
      <c r="G57" s="26" t="s">
        <v>9</v>
      </c>
      <c r="H57" s="8" t="s">
        <v>19</v>
      </c>
      <c r="I57" s="8" t="s">
        <v>541</v>
      </c>
      <c r="J57" s="8" t="s">
        <v>54</v>
      </c>
      <c r="K57" s="9" t="s">
        <v>264</v>
      </c>
      <c r="L57" s="30" t="s">
        <v>543</v>
      </c>
      <c r="M57" s="31">
        <v>4.9466999999999999</v>
      </c>
      <c r="N57" s="563" t="str" cm="1">
        <f t="array" ref="N57">_xlfn.XLOOKUP("?*",U57:Z57&amp;"",$U$3:$Z$3,S57,2,-1)</f>
        <v>R1</v>
      </c>
      <c r="O57" s="565" cm="1">
        <f t="array" ref="O57">_xlfn.XLOOKUP("?*",U57:Z57&amp;"",U57:Z57,T57,2,-1)</f>
        <v>4.8231999999999999</v>
      </c>
      <c r="P57" s="92"/>
      <c r="Q57" s="88"/>
      <c r="R57" s="1"/>
      <c r="S57" s="76" t="s">
        <v>1296</v>
      </c>
      <c r="T57" s="35">
        <v>4.8261000000000003</v>
      </c>
      <c r="U57" s="42"/>
      <c r="V57" s="43">
        <v>4.8231999999999999</v>
      </c>
      <c r="W57" s="43"/>
      <c r="X57" s="43"/>
      <c r="Y57" s="43"/>
      <c r="Z57" s="43"/>
      <c r="AA57" s="44"/>
      <c r="AB57" s="81"/>
      <c r="AC57" s="22"/>
      <c r="AD57" s="444" t="str">
        <f t="shared" si="27"/>
        <v/>
      </c>
      <c r="AE57" s="441">
        <f t="shared" si="28"/>
        <v>2.9000000000003467</v>
      </c>
      <c r="AF57" s="441" t="str">
        <f t="shared" si="29"/>
        <v/>
      </c>
      <c r="AG57" s="478" t="str">
        <f t="shared" si="21"/>
        <v/>
      </c>
      <c r="AH57" s="443" t="str">
        <f t="shared" si="22"/>
        <v/>
      </c>
      <c r="AI57" s="441" t="str">
        <f t="shared" si="17"/>
        <v/>
      </c>
      <c r="AJ57" s="655" t="str">
        <f t="shared" si="18"/>
        <v/>
      </c>
      <c r="AM57" s="477" t="str" cm="1">
        <f t="array" ref="AM57">_xlfn.XLOOKUP("?*",U57:AA57&amp;"",$U$3:$AA$3,S57,2,-1)</f>
        <v>R1</v>
      </c>
      <c r="AN57" s="477" cm="1">
        <f t="array" ref="AN57">_xlfn.XLOOKUP("?*",U57:AA57&amp;"",U57:AA57,T57,2,-1)</f>
        <v>4.8231999999999999</v>
      </c>
      <c r="AO57" s="477" t="str" cm="1">
        <f t="array" ref="AO57">_xlfn.XLOOKUP("?*",U57:Z57&amp;"",$U$3:$Z$3,S57,2,-1)</f>
        <v>R1</v>
      </c>
      <c r="AP57" s="477" cm="1">
        <f t="array" ref="AP57">_xlfn.XLOOKUP("?*",U57:Z57&amp;"",U57:Z57,T57,2,-1)</f>
        <v>4.8231999999999999</v>
      </c>
      <c r="AQ57" s="477" t="str" cm="1">
        <f t="array" ref="AQ57">_xlfn.XLOOKUP("?*",U57:Y57&amp;"",$U$3:$Y$3,S57,2,-1)</f>
        <v>R1</v>
      </c>
      <c r="AR57" s="477" cm="1">
        <f t="array" ref="AR57">_xlfn.XLOOKUP("?*",U57:Y57&amp;"",U57:Y57,T57,2,-1)</f>
        <v>4.8231999999999999</v>
      </c>
      <c r="AS57" s="477" t="str" cm="1">
        <f t="array" ref="AS57">_xlfn.XLOOKUP("?*",U57:X57&amp;"",$U$3:$X$3,S57,2,-1)</f>
        <v>R1</v>
      </c>
      <c r="AT57" s="477" cm="1">
        <f t="array" ref="AT57">_xlfn.XLOOKUP("?*",U57:X57&amp;"",U57:X57,T57,2,-1)</f>
        <v>4.8231999999999999</v>
      </c>
      <c r="AU57" s="1" t="str">
        <f t="shared" si="23"/>
        <v>R1</v>
      </c>
      <c r="AV57" s="1">
        <f t="shared" si="24"/>
        <v>4.8231999999999999</v>
      </c>
      <c r="AW57" s="1" t="str">
        <f t="shared" si="25"/>
        <v>R1</v>
      </c>
      <c r="AX57" s="1">
        <f t="shared" si="26"/>
        <v>4.8231999999999999</v>
      </c>
    </row>
    <row r="58" spans="1:50" ht="17.100000000000001" customHeight="1">
      <c r="A58" s="10">
        <v>310</v>
      </c>
      <c r="B58" s="53" t="s">
        <v>408</v>
      </c>
      <c r="C58" s="10" t="s">
        <v>96</v>
      </c>
      <c r="D58" s="69" t="s">
        <v>571</v>
      </c>
      <c r="E58" s="69" t="s">
        <v>571</v>
      </c>
      <c r="F58" s="70" t="s">
        <v>111</v>
      </c>
      <c r="G58" s="26" t="s">
        <v>9</v>
      </c>
      <c r="H58" s="8" t="s">
        <v>10</v>
      </c>
      <c r="I58" s="8" t="s">
        <v>541</v>
      </c>
      <c r="J58" s="8" t="s">
        <v>539</v>
      </c>
      <c r="K58" s="9" t="s">
        <v>270</v>
      </c>
      <c r="L58" s="30" t="s">
        <v>543</v>
      </c>
      <c r="M58" s="31">
        <v>10.915699999999999</v>
      </c>
      <c r="N58" s="563" t="str" cm="1">
        <f t="array" ref="N58">_xlfn.XLOOKUP("?*",U58:Z58&amp;"",$U$3:$Z$3,S58,2,-1)</f>
        <v>R5</v>
      </c>
      <c r="O58" s="565" cm="1">
        <f t="array" ref="O58">_xlfn.XLOOKUP("?*",U58:Z58&amp;"",U58:Z58,T58,2,-1)</f>
        <v>10.768700000000001</v>
      </c>
      <c r="P58" s="93"/>
      <c r="Q58" s="88"/>
      <c r="R58" s="1"/>
      <c r="S58" s="77" t="s">
        <v>1316</v>
      </c>
      <c r="T58" s="35">
        <v>10.7905</v>
      </c>
      <c r="U58" s="42"/>
      <c r="V58" s="43">
        <v>10.778700000000001</v>
      </c>
      <c r="W58" s="43"/>
      <c r="X58" s="43"/>
      <c r="Y58" s="43"/>
      <c r="Z58" s="43">
        <v>10.768700000000001</v>
      </c>
      <c r="AA58" s="44"/>
      <c r="AB58" s="82"/>
      <c r="AC58" s="22"/>
      <c r="AD58" s="444" t="str">
        <f t="shared" si="27"/>
        <v/>
      </c>
      <c r="AE58" s="441">
        <f t="shared" si="28"/>
        <v>11.799999999999145</v>
      </c>
      <c r="AF58" s="441" t="str">
        <f t="shared" si="29"/>
        <v/>
      </c>
      <c r="AG58" s="478" t="str">
        <f t="shared" si="21"/>
        <v/>
      </c>
      <c r="AH58" s="443" t="str">
        <f t="shared" si="22"/>
        <v/>
      </c>
      <c r="AI58" s="441">
        <f t="shared" si="17"/>
        <v>9.9999999999997868</v>
      </c>
      <c r="AJ58" s="655" t="str">
        <f t="shared" si="18"/>
        <v/>
      </c>
      <c r="AM58" s="477" t="str" cm="1">
        <f t="array" ref="AM58">_xlfn.XLOOKUP("?*",U58:AA58&amp;"",$U$3:$AA$3,S58,2,-1)</f>
        <v>R5</v>
      </c>
      <c r="AN58" s="477" cm="1">
        <f t="array" ref="AN58">_xlfn.XLOOKUP("?*",U58:AA58&amp;"",U58:AA58,T58,2,-1)</f>
        <v>10.768700000000001</v>
      </c>
      <c r="AO58" s="477" t="str" cm="1">
        <f t="array" ref="AO58">_xlfn.XLOOKUP("?*",U58:Z58&amp;"",$U$3:$Z$3,S58,2,-1)</f>
        <v>R5</v>
      </c>
      <c r="AP58" s="477" cm="1">
        <f t="array" ref="AP58">_xlfn.XLOOKUP("?*",U58:Z58&amp;"",U58:Z58,T58,2,-1)</f>
        <v>10.768700000000001</v>
      </c>
      <c r="AQ58" s="477" t="str" cm="1">
        <f t="array" ref="AQ58">_xlfn.XLOOKUP("?*",U58:Y58&amp;"",$U$3:$Y$3,S58,2,-1)</f>
        <v>R1</v>
      </c>
      <c r="AR58" s="477" cm="1">
        <f t="array" ref="AR58">_xlfn.XLOOKUP("?*",U58:Y58&amp;"",U58:Y58,T58,2,-1)</f>
        <v>10.778700000000001</v>
      </c>
      <c r="AS58" s="477" t="str" cm="1">
        <f t="array" ref="AS58">_xlfn.XLOOKUP("?*",U58:X58&amp;"",$U$3:$X$3,S58,2,-1)</f>
        <v>R1</v>
      </c>
      <c r="AT58" s="477" cm="1">
        <f t="array" ref="AT58">_xlfn.XLOOKUP("?*",U58:X58&amp;"",U58:X58,T58,2,-1)</f>
        <v>10.778700000000001</v>
      </c>
      <c r="AU58" s="1" t="str">
        <f t="shared" si="23"/>
        <v>R1</v>
      </c>
      <c r="AV58" s="1">
        <f t="shared" si="24"/>
        <v>10.778700000000001</v>
      </c>
      <c r="AW58" s="1" t="str">
        <f t="shared" si="25"/>
        <v>R1</v>
      </c>
      <c r="AX58" s="1">
        <f t="shared" si="26"/>
        <v>10.778700000000001</v>
      </c>
    </row>
    <row r="59" spans="1:50" ht="17.100000000000001" customHeight="1">
      <c r="A59" s="10">
        <v>311</v>
      </c>
      <c r="B59" s="53" t="s">
        <v>404</v>
      </c>
      <c r="C59" s="10" t="s">
        <v>96</v>
      </c>
      <c r="D59" s="69" t="s">
        <v>710</v>
      </c>
      <c r="E59" s="69" t="s">
        <v>710</v>
      </c>
      <c r="F59" s="70" t="s">
        <v>113</v>
      </c>
      <c r="G59" s="26" t="s">
        <v>9</v>
      </c>
      <c r="H59" s="8" t="s">
        <v>10</v>
      </c>
      <c r="I59" s="8" t="s">
        <v>541</v>
      </c>
      <c r="J59" s="8" t="s">
        <v>539</v>
      </c>
      <c r="K59" s="9" t="s">
        <v>270</v>
      </c>
      <c r="L59" s="30" t="s">
        <v>543</v>
      </c>
      <c r="M59" s="31">
        <v>10.2989</v>
      </c>
      <c r="N59" s="563" t="str" cm="1">
        <f t="array" ref="N59">_xlfn.XLOOKUP("?*",U59:Z59&amp;"",$U$3:$Z$3,S59,2,-1)</f>
        <v>R5</v>
      </c>
      <c r="O59" s="565" cm="1">
        <f t="array" ref="O59">_xlfn.XLOOKUP("?*",U59:Z59&amp;"",U59:Z59,T59,2,-1)</f>
        <v>10.1693</v>
      </c>
      <c r="P59" s="93"/>
      <c r="Q59" s="88"/>
      <c r="R59" s="1"/>
      <c r="S59" s="77" t="s">
        <v>1299</v>
      </c>
      <c r="T59" s="35">
        <v>10.186400000000001</v>
      </c>
      <c r="U59" s="42"/>
      <c r="V59" s="43"/>
      <c r="W59" s="43"/>
      <c r="X59" s="43"/>
      <c r="Y59" s="43">
        <v>10.1747</v>
      </c>
      <c r="Z59" s="43">
        <v>10.1693</v>
      </c>
      <c r="AA59" s="44"/>
      <c r="AB59" s="82"/>
      <c r="AC59" s="22"/>
      <c r="AD59" s="444" t="str">
        <f t="shared" si="27"/>
        <v/>
      </c>
      <c r="AE59" s="441" t="str">
        <f t="shared" si="28"/>
        <v/>
      </c>
      <c r="AF59" s="441" t="str">
        <f t="shared" si="29"/>
        <v/>
      </c>
      <c r="AG59" s="478" t="str">
        <f t="shared" si="21"/>
        <v/>
      </c>
      <c r="AH59" s="443">
        <f t="shared" si="22"/>
        <v>11.700000000001154</v>
      </c>
      <c r="AI59" s="441">
        <f t="shared" si="17"/>
        <v>5.3999999999998494</v>
      </c>
      <c r="AJ59" s="655" t="str">
        <f t="shared" si="18"/>
        <v/>
      </c>
      <c r="AM59" s="477" t="str" cm="1">
        <f t="array" ref="AM59">_xlfn.XLOOKUP("?*",U59:AA59&amp;"",$U$3:$AA$3,S59,2,-1)</f>
        <v>R5</v>
      </c>
      <c r="AN59" s="477" cm="1">
        <f t="array" ref="AN59">_xlfn.XLOOKUP("?*",U59:AA59&amp;"",U59:AA59,T59,2,-1)</f>
        <v>10.1693</v>
      </c>
      <c r="AO59" s="477" t="str" cm="1">
        <f t="array" ref="AO59">_xlfn.XLOOKUP("?*",U59:Z59&amp;"",$U$3:$Z$3,S59,2,-1)</f>
        <v>R5</v>
      </c>
      <c r="AP59" s="477" cm="1">
        <f t="array" ref="AP59">_xlfn.XLOOKUP("?*",U59:Z59&amp;"",U59:Z59,T59,2,-1)</f>
        <v>10.1693</v>
      </c>
      <c r="AQ59" s="477" t="str" cm="1">
        <f t="array" ref="AQ59">_xlfn.XLOOKUP("?*",U59:Y59&amp;"",$U$3:$Y$3,S59,2,-1)</f>
        <v>R4</v>
      </c>
      <c r="AR59" s="477" cm="1">
        <f t="array" ref="AR59">_xlfn.XLOOKUP("?*",U59:Y59&amp;"",U59:Y59,T59,2,-1)</f>
        <v>10.1747</v>
      </c>
      <c r="AS59" s="477" t="str" cm="1">
        <f t="array" ref="AS59">_xlfn.XLOOKUP("?*",U59:X59&amp;"",$U$3:$X$3,S59,2,-1)</f>
        <v>H29</v>
      </c>
      <c r="AT59" s="477" cm="1">
        <f t="array" ref="AT59">_xlfn.XLOOKUP("?*",U59:X59&amp;"",U59:X59,T59,2,-1)</f>
        <v>10.186400000000001</v>
      </c>
      <c r="AU59" s="1" t="str">
        <f t="shared" si="23"/>
        <v>H29</v>
      </c>
      <c r="AV59" s="1">
        <f t="shared" si="24"/>
        <v>10.186400000000001</v>
      </c>
      <c r="AW59" s="1" t="str">
        <f t="shared" si="25"/>
        <v>H29</v>
      </c>
      <c r="AX59" s="1">
        <f t="shared" si="26"/>
        <v>10.186400000000001</v>
      </c>
    </row>
    <row r="60" spans="1:50" ht="17.100000000000001" customHeight="1">
      <c r="A60" s="10">
        <v>312</v>
      </c>
      <c r="B60" s="53" t="s">
        <v>435</v>
      </c>
      <c r="C60" s="10" t="s">
        <v>96</v>
      </c>
      <c r="D60" s="69" t="s">
        <v>559</v>
      </c>
      <c r="E60" s="69" t="s">
        <v>559</v>
      </c>
      <c r="F60" s="70" t="s">
        <v>114</v>
      </c>
      <c r="G60" s="26" t="s">
        <v>9</v>
      </c>
      <c r="H60" s="8" t="s">
        <v>10</v>
      </c>
      <c r="I60" s="8" t="s">
        <v>541</v>
      </c>
      <c r="J60" s="8" t="s">
        <v>1087</v>
      </c>
      <c r="K60" s="9" t="s">
        <v>270</v>
      </c>
      <c r="L60" s="30" t="s">
        <v>543</v>
      </c>
      <c r="M60" s="31">
        <v>11.9658</v>
      </c>
      <c r="N60" s="563" t="str" cm="1">
        <f t="array" ref="N60">_xlfn.XLOOKUP("?*",U60:Z60&amp;"",$U$3:$Z$3,S60,2,-1)</f>
        <v>R5</v>
      </c>
      <c r="O60" s="565" cm="1">
        <f t="array" ref="O60">_xlfn.XLOOKUP("?*",U60:Z60&amp;"",U60:Z60,T60,2,-1)</f>
        <v>11.8337</v>
      </c>
      <c r="P60" s="92"/>
      <c r="Q60" s="87"/>
      <c r="R60" s="1"/>
      <c r="S60" s="76" t="s">
        <v>1308</v>
      </c>
      <c r="T60" s="34">
        <v>11.8429</v>
      </c>
      <c r="U60" s="39">
        <v>11.843400000000001</v>
      </c>
      <c r="V60" s="40"/>
      <c r="W60" s="40"/>
      <c r="X60" s="40"/>
      <c r="Y60" s="40"/>
      <c r="Z60" s="40">
        <v>11.8337</v>
      </c>
      <c r="AA60" s="41"/>
      <c r="AB60" s="81"/>
      <c r="AC60" s="21"/>
      <c r="AD60" s="442">
        <f t="shared" si="27"/>
        <v>-0.50000000000061107</v>
      </c>
      <c r="AE60" s="443" t="str">
        <f t="shared" si="28"/>
        <v/>
      </c>
      <c r="AF60" s="443" t="str">
        <f t="shared" si="29"/>
        <v/>
      </c>
      <c r="AG60" s="478" t="str">
        <f t="shared" si="21"/>
        <v/>
      </c>
      <c r="AH60" s="443" t="str">
        <f t="shared" si="22"/>
        <v/>
      </c>
      <c r="AI60" s="441">
        <f t="shared" si="17"/>
        <v>9.700000000000486</v>
      </c>
      <c r="AJ60" s="655" t="str">
        <f t="shared" si="18"/>
        <v/>
      </c>
      <c r="AM60" s="477" t="str" cm="1">
        <f t="array" ref="AM60">_xlfn.XLOOKUP("?*",U60:AA60&amp;"",$U$3:$AA$3,S60,2,-1)</f>
        <v>R5</v>
      </c>
      <c r="AN60" s="477" cm="1">
        <f t="array" ref="AN60">_xlfn.XLOOKUP("?*",U60:AA60&amp;"",U60:AA60,T60,2,-1)</f>
        <v>11.8337</v>
      </c>
      <c r="AO60" s="477" t="str" cm="1">
        <f t="array" ref="AO60">_xlfn.XLOOKUP("?*",U60:Z60&amp;"",$U$3:$Z$3,S60,2,-1)</f>
        <v>R5</v>
      </c>
      <c r="AP60" s="477" cm="1">
        <f t="array" ref="AP60">_xlfn.XLOOKUP("?*",U60:Z60&amp;"",U60:Z60,T60,2,-1)</f>
        <v>11.8337</v>
      </c>
      <c r="AQ60" s="477" t="str" cm="1">
        <f t="array" ref="AQ60">_xlfn.XLOOKUP("?*",U60:Y60&amp;"",$U$3:$Y$3,S60,2,-1)</f>
        <v>H30</v>
      </c>
      <c r="AR60" s="477" cm="1">
        <f t="array" ref="AR60">_xlfn.XLOOKUP("?*",U60:Y60&amp;"",U60:Y60,T60,2,-1)</f>
        <v>11.843400000000001</v>
      </c>
      <c r="AS60" s="477" t="str" cm="1">
        <f t="array" ref="AS60">_xlfn.XLOOKUP("?*",U60:X60&amp;"",$U$3:$X$3,S60,2,-1)</f>
        <v>H30</v>
      </c>
      <c r="AT60" s="477" cm="1">
        <f t="array" ref="AT60">_xlfn.XLOOKUP("?*",U60:X60&amp;"",U60:X60,T60,2,-1)</f>
        <v>11.843400000000001</v>
      </c>
      <c r="AU60" s="1" t="str">
        <f t="shared" si="23"/>
        <v>H30</v>
      </c>
      <c r="AV60" s="1">
        <f t="shared" si="24"/>
        <v>11.843400000000001</v>
      </c>
      <c r="AW60" s="1" t="str">
        <f t="shared" si="25"/>
        <v>H30</v>
      </c>
      <c r="AX60" s="1">
        <f t="shared" si="26"/>
        <v>11.843400000000001</v>
      </c>
    </row>
    <row r="61" spans="1:50" ht="17.100000000000001" customHeight="1">
      <c r="A61" s="10">
        <v>313</v>
      </c>
      <c r="B61" s="53" t="s">
        <v>406</v>
      </c>
      <c r="C61" s="10" t="s">
        <v>96</v>
      </c>
      <c r="D61" s="69" t="s">
        <v>700</v>
      </c>
      <c r="E61" s="69" t="s">
        <v>700</v>
      </c>
      <c r="F61" s="70" t="s">
        <v>116</v>
      </c>
      <c r="G61" s="26" t="s">
        <v>9</v>
      </c>
      <c r="H61" s="8" t="s">
        <v>10</v>
      </c>
      <c r="I61" s="8" t="s">
        <v>541</v>
      </c>
      <c r="J61" s="8" t="s">
        <v>54</v>
      </c>
      <c r="K61" s="9" t="s">
        <v>270</v>
      </c>
      <c r="L61" s="30" t="s">
        <v>543</v>
      </c>
      <c r="M61" s="31">
        <v>6.5015999999999998</v>
      </c>
      <c r="N61" s="563" t="str" cm="1">
        <f t="array" ref="N61">_xlfn.XLOOKUP("?*",U61:Z61&amp;"",$U$3:$Z$3,S61,2,-1)</f>
        <v>R4</v>
      </c>
      <c r="O61" s="565" cm="1">
        <f t="array" ref="O61">_xlfn.XLOOKUP("?*",U61:Z61&amp;"",U61:Z61,T61,2,-1)</f>
        <v>6.2317999999999998</v>
      </c>
      <c r="P61" s="92"/>
      <c r="Q61" s="87"/>
      <c r="R61" s="1"/>
      <c r="S61" s="76" t="s">
        <v>1317</v>
      </c>
      <c r="T61" s="34">
        <v>6.2826000000000004</v>
      </c>
      <c r="U61" s="39"/>
      <c r="V61" s="40">
        <v>6.2473000000000001</v>
      </c>
      <c r="W61" s="40"/>
      <c r="X61" s="40"/>
      <c r="Y61" s="40">
        <v>6.2317999999999998</v>
      </c>
      <c r="Z61" s="40"/>
      <c r="AA61" s="41"/>
      <c r="AB61" s="81"/>
      <c r="AC61" s="21"/>
      <c r="AD61" s="442" t="str">
        <f t="shared" si="27"/>
        <v/>
      </c>
      <c r="AE61" s="443">
        <f t="shared" si="28"/>
        <v>35.300000000000331</v>
      </c>
      <c r="AF61" s="443" t="str">
        <f t="shared" si="29"/>
        <v/>
      </c>
      <c r="AG61" s="478" t="str">
        <f t="shared" si="21"/>
        <v/>
      </c>
      <c r="AH61" s="443">
        <f t="shared" si="22"/>
        <v>15.500000000000291</v>
      </c>
      <c r="AI61" s="441" t="str">
        <f t="shared" si="17"/>
        <v/>
      </c>
      <c r="AJ61" s="655" t="str">
        <f t="shared" si="18"/>
        <v/>
      </c>
      <c r="AM61" s="477" t="str" cm="1">
        <f t="array" ref="AM61">_xlfn.XLOOKUP("?*",U61:AA61&amp;"",$U$3:$AA$3,S61,2,-1)</f>
        <v>R4</v>
      </c>
      <c r="AN61" s="477" cm="1">
        <f t="array" ref="AN61">_xlfn.XLOOKUP("?*",U61:AA61&amp;"",U61:AA61,T61,2,-1)</f>
        <v>6.2317999999999998</v>
      </c>
      <c r="AO61" s="477" t="str" cm="1">
        <f t="array" ref="AO61">_xlfn.XLOOKUP("?*",U61:Z61&amp;"",$U$3:$Z$3,S61,2,-1)</f>
        <v>R4</v>
      </c>
      <c r="AP61" s="477" cm="1">
        <f t="array" ref="AP61">_xlfn.XLOOKUP("?*",U61:Z61&amp;"",U61:Z61,T61,2,-1)</f>
        <v>6.2317999999999998</v>
      </c>
      <c r="AQ61" s="477" t="str" cm="1">
        <f t="array" ref="AQ61">_xlfn.XLOOKUP("?*",U61:Y61&amp;"",$U$3:$Y$3,S61,2,-1)</f>
        <v>R4</v>
      </c>
      <c r="AR61" s="477" cm="1">
        <f t="array" ref="AR61">_xlfn.XLOOKUP("?*",U61:Y61&amp;"",U61:Y61,T61,2,-1)</f>
        <v>6.2317999999999998</v>
      </c>
      <c r="AS61" s="477" t="str" cm="1">
        <f t="array" ref="AS61">_xlfn.XLOOKUP("?*",U61:X61&amp;"",$U$3:$X$3,S61,2,-1)</f>
        <v>R1</v>
      </c>
      <c r="AT61" s="477" cm="1">
        <f t="array" ref="AT61">_xlfn.XLOOKUP("?*",U61:X61&amp;"",U61:X61,T61,2,-1)</f>
        <v>6.2473000000000001</v>
      </c>
      <c r="AU61" s="1" t="str">
        <f t="shared" si="23"/>
        <v>R1</v>
      </c>
      <c r="AV61" s="1">
        <f t="shared" si="24"/>
        <v>6.2473000000000001</v>
      </c>
      <c r="AW61" s="1" t="str">
        <f t="shared" si="25"/>
        <v>R1</v>
      </c>
      <c r="AX61" s="1">
        <f t="shared" si="26"/>
        <v>6.2473000000000001</v>
      </c>
    </row>
    <row r="62" spans="1:50" ht="17.100000000000001" customHeight="1">
      <c r="A62" s="502">
        <v>314</v>
      </c>
      <c r="B62" s="503" t="s">
        <v>1356</v>
      </c>
      <c r="C62" s="502" t="s">
        <v>96</v>
      </c>
      <c r="D62" s="504" t="s">
        <v>638</v>
      </c>
      <c r="E62" s="504" t="s">
        <v>638</v>
      </c>
      <c r="F62" s="484" t="s">
        <v>299</v>
      </c>
      <c r="G62" s="485" t="s">
        <v>9</v>
      </c>
      <c r="H62" s="486" t="s">
        <v>31</v>
      </c>
      <c r="I62" s="486" t="s">
        <v>541</v>
      </c>
      <c r="J62" s="486" t="s">
        <v>54</v>
      </c>
      <c r="K62" s="487" t="s">
        <v>270</v>
      </c>
      <c r="L62" s="30"/>
      <c r="M62" s="31"/>
      <c r="N62" s="563" t="str" cm="1">
        <f t="array" ref="N62">_xlfn.XLOOKUP("?*",U62:Z62&amp;"",$U$3:$Z$3,S62,2,-1)</f>
        <v>-</v>
      </c>
      <c r="O62" s="565" t="str" cm="1">
        <f t="array" ref="O62">_xlfn.XLOOKUP("?*",U62:Z62&amp;"",U62:Z62,T62,2,-1)</f>
        <v>-</v>
      </c>
      <c r="P62" s="92"/>
      <c r="Q62" s="505"/>
      <c r="R62" s="14"/>
      <c r="S62" s="76" t="s">
        <v>1354</v>
      </c>
      <c r="T62" s="488" t="s">
        <v>1354</v>
      </c>
      <c r="U62" s="39"/>
      <c r="V62" s="40"/>
      <c r="W62" s="40"/>
      <c r="X62" s="40"/>
      <c r="Y62" s="40"/>
      <c r="Z62" s="40"/>
      <c r="AA62" s="41"/>
      <c r="AB62" s="81"/>
      <c r="AC62" s="21"/>
      <c r="AD62" s="442" t="str">
        <f t="shared" ref="AD62" si="32">IF(U62="","",-(U62-T62)*1000)</f>
        <v/>
      </c>
      <c r="AE62" s="443" t="str">
        <f t="shared" ref="AE62" si="33">IF(V62="","",IF(U62="",-(V62-T62)*1000,-(V62-U62)*1000))</f>
        <v/>
      </c>
      <c r="AF62" s="443" t="str">
        <f t="shared" si="29"/>
        <v/>
      </c>
      <c r="AG62" s="478" t="str">
        <f t="shared" si="21"/>
        <v/>
      </c>
      <c r="AH62" s="443" t="str">
        <f t="shared" si="22"/>
        <v/>
      </c>
      <c r="AI62" s="441" t="str">
        <f t="shared" si="17"/>
        <v/>
      </c>
      <c r="AJ62" s="655" t="str">
        <f t="shared" si="18"/>
        <v/>
      </c>
      <c r="AM62" s="477" t="str" cm="1">
        <f t="array" ref="AM62">_xlfn.XLOOKUP("?*",U62:AA62&amp;"",$U$3:$AA$3,S62,2,-1)</f>
        <v>-</v>
      </c>
      <c r="AN62" s="477" t="str" cm="1">
        <f t="array" ref="AN62">_xlfn.XLOOKUP("?*",U62:AA62&amp;"",U62:AA62,T62,2,-1)</f>
        <v>-</v>
      </c>
      <c r="AO62" s="477" t="str" cm="1">
        <f t="array" ref="AO62">_xlfn.XLOOKUP("?*",U62:Z62&amp;"",$U$3:$Z$3,S62,2,-1)</f>
        <v>-</v>
      </c>
      <c r="AP62" s="477" t="str" cm="1">
        <f t="array" ref="AP62">_xlfn.XLOOKUP("?*",U62:Z62&amp;"",U62:Z62,T62,2,-1)</f>
        <v>-</v>
      </c>
      <c r="AQ62" s="477" t="str" cm="1">
        <f t="array" ref="AQ62">_xlfn.XLOOKUP("?*",U62:Y62&amp;"",$U$3:$Y$3,S62,2,-1)</f>
        <v>-</v>
      </c>
      <c r="AR62" s="477" t="str" cm="1">
        <f t="array" ref="AR62">_xlfn.XLOOKUP("?*",U62:Y62&amp;"",U62:Y62,T62,2,-1)</f>
        <v>-</v>
      </c>
      <c r="AS62" s="477" t="str" cm="1">
        <f t="array" ref="AS62">_xlfn.XLOOKUP("?*",U62:X62&amp;"",$U$3:$X$3,S62,2,-1)</f>
        <v>-</v>
      </c>
      <c r="AT62" s="477" t="str" cm="1">
        <f t="array" ref="AT62">_xlfn.XLOOKUP("?*",U62:X62&amp;"",U62:X62,T62,2,-1)</f>
        <v>-</v>
      </c>
      <c r="AU62" s="1" t="str">
        <f t="shared" si="23"/>
        <v>-</v>
      </c>
      <c r="AV62" s="1" t="str">
        <f t="shared" si="24"/>
        <v>-</v>
      </c>
      <c r="AW62" s="1" t="str">
        <f t="shared" si="25"/>
        <v>-</v>
      </c>
      <c r="AX62" s="1" t="str">
        <f t="shared" si="26"/>
        <v>-</v>
      </c>
    </row>
    <row r="63" spans="1:50" ht="17.100000000000001" customHeight="1">
      <c r="A63" s="10">
        <v>315</v>
      </c>
      <c r="B63" s="53" t="s">
        <v>438</v>
      </c>
      <c r="C63" s="10" t="s">
        <v>96</v>
      </c>
      <c r="D63" s="69" t="s">
        <v>1116</v>
      </c>
      <c r="E63" s="69" t="s">
        <v>1357</v>
      </c>
      <c r="F63" s="70" t="s">
        <v>1490</v>
      </c>
      <c r="G63" s="26" t="s">
        <v>9</v>
      </c>
      <c r="H63" s="8" t="s">
        <v>31</v>
      </c>
      <c r="I63" s="8" t="s">
        <v>64</v>
      </c>
      <c r="J63" s="8" t="s">
        <v>539</v>
      </c>
      <c r="K63" s="9" t="s">
        <v>270</v>
      </c>
      <c r="L63" s="30" t="s">
        <v>543</v>
      </c>
      <c r="M63" s="31">
        <v>4.2302999999999997</v>
      </c>
      <c r="N63" s="563" t="str" cm="1">
        <f t="array" ref="N63">_xlfn.XLOOKUP("?*",U63:Z63&amp;"",$U$3:$Z$3,S63,2,-1)</f>
        <v>R1</v>
      </c>
      <c r="O63" s="565" cm="1">
        <f t="array" ref="O63">_xlfn.XLOOKUP("?*",U63:Z63&amp;"",U63:Z63,T63,2,-1)</f>
        <v>4.1002999999999998</v>
      </c>
      <c r="P63" s="92"/>
      <c r="Q63" s="87"/>
      <c r="R63" s="1"/>
      <c r="S63" s="76" t="s">
        <v>1317</v>
      </c>
      <c r="T63" s="34">
        <v>4.1143000000000001</v>
      </c>
      <c r="U63" s="39"/>
      <c r="V63" s="40">
        <v>4.1002999999999998</v>
      </c>
      <c r="W63" s="40"/>
      <c r="X63" s="40"/>
      <c r="Y63" s="40"/>
      <c r="Z63" s="40"/>
      <c r="AA63" s="41"/>
      <c r="AB63" s="81"/>
      <c r="AC63" s="21"/>
      <c r="AD63" s="442" t="str">
        <f t="shared" si="27"/>
        <v/>
      </c>
      <c r="AE63" s="443">
        <f t="shared" si="28"/>
        <v>14.000000000000234</v>
      </c>
      <c r="AF63" s="443" t="str">
        <f t="shared" si="29"/>
        <v/>
      </c>
      <c r="AG63" s="478" t="str">
        <f t="shared" si="21"/>
        <v/>
      </c>
      <c r="AH63" s="443" t="str">
        <f t="shared" si="22"/>
        <v/>
      </c>
      <c r="AI63" s="441" t="str">
        <f>IF(Z63="","",($AP63-$AR63)*(-1000))</f>
        <v/>
      </c>
      <c r="AJ63" s="655" t="str">
        <f t="shared" si="18"/>
        <v/>
      </c>
      <c r="AM63" s="477" t="str" cm="1">
        <f t="array" ref="AM63">_xlfn.XLOOKUP("?*",U63:AA63&amp;"",$U$3:$AA$3,S63,2,-1)</f>
        <v>R1</v>
      </c>
      <c r="AN63" s="477" cm="1">
        <f t="array" ref="AN63">_xlfn.XLOOKUP("?*",U63:AA63&amp;"",U63:AA63,T63,2,-1)</f>
        <v>4.1002999999999998</v>
      </c>
      <c r="AO63" s="477" t="str" cm="1">
        <f t="array" ref="AO63">_xlfn.XLOOKUP("?*",U63:Z63&amp;"",$U$3:$Z$3,S63,2,-1)</f>
        <v>R1</v>
      </c>
      <c r="AP63" s="477" cm="1">
        <f t="array" ref="AP63">_xlfn.XLOOKUP("?*",U63:Z63&amp;"",U63:Z63,T63,2,-1)</f>
        <v>4.1002999999999998</v>
      </c>
      <c r="AQ63" s="477" t="str" cm="1">
        <f t="array" ref="AQ63">_xlfn.XLOOKUP("?*",U63:Y63&amp;"",$U$3:$Y$3,S63,2,-1)</f>
        <v>R1</v>
      </c>
      <c r="AR63" s="477" cm="1">
        <f t="array" ref="AR63">_xlfn.XLOOKUP("?*",U63:Y63&amp;"",U63:Y63,T63,2,-1)</f>
        <v>4.1002999999999998</v>
      </c>
      <c r="AS63" s="477" t="str" cm="1">
        <f t="array" ref="AS63">_xlfn.XLOOKUP("?*",U63:X63&amp;"",$U$3:$X$3,S63,2,-1)</f>
        <v>R1</v>
      </c>
      <c r="AT63" s="477" cm="1">
        <f t="array" ref="AT63">_xlfn.XLOOKUP("?*",U63:X63&amp;"",U63:X63,T63,2,-1)</f>
        <v>4.1002999999999998</v>
      </c>
      <c r="AU63" s="1" t="str">
        <f t="shared" si="23"/>
        <v>R1</v>
      </c>
      <c r="AV63" s="1">
        <f t="shared" si="24"/>
        <v>4.1002999999999998</v>
      </c>
      <c r="AW63" s="1" t="str">
        <f t="shared" si="25"/>
        <v>R1</v>
      </c>
      <c r="AX63" s="1">
        <f t="shared" si="26"/>
        <v>4.1002999999999998</v>
      </c>
    </row>
    <row r="64" spans="1:50" ht="17.100000000000001" customHeight="1">
      <c r="A64" s="10">
        <v>316</v>
      </c>
      <c r="B64" s="53" t="s">
        <v>440</v>
      </c>
      <c r="C64" s="10" t="s">
        <v>96</v>
      </c>
      <c r="D64" s="69" t="s">
        <v>1121</v>
      </c>
      <c r="E64" s="69" t="s">
        <v>1357</v>
      </c>
      <c r="F64" s="70" t="s">
        <v>1417</v>
      </c>
      <c r="G64" s="26" t="s">
        <v>9</v>
      </c>
      <c r="H64" s="8" t="s">
        <v>31</v>
      </c>
      <c r="I64" s="8" t="s">
        <v>64</v>
      </c>
      <c r="J64" s="8" t="s">
        <v>539</v>
      </c>
      <c r="K64" s="9" t="s">
        <v>270</v>
      </c>
      <c r="L64" s="30" t="s">
        <v>543</v>
      </c>
      <c r="M64" s="31">
        <v>4.5613000000000001</v>
      </c>
      <c r="N64" s="563" t="str" cm="1">
        <f t="array" ref="N64">_xlfn.XLOOKUP("?*",U64:Z64&amp;"",$U$3:$Z$3,S64,2,-1)</f>
        <v>R1</v>
      </c>
      <c r="O64" s="565" cm="1">
        <f t="array" ref="O64">_xlfn.XLOOKUP("?*",U64:Z64&amp;"",U64:Z64,T64,2,-1)</f>
        <v>4.4231999999999996</v>
      </c>
      <c r="P64" s="92"/>
      <c r="Q64" s="87"/>
      <c r="R64" s="1"/>
      <c r="S64" s="76" t="s">
        <v>1319</v>
      </c>
      <c r="T64" s="34">
        <v>4.4451000000000001</v>
      </c>
      <c r="U64" s="39"/>
      <c r="V64" s="40">
        <v>4.4231999999999996</v>
      </c>
      <c r="W64" s="40"/>
      <c r="X64" s="40"/>
      <c r="Y64" s="40"/>
      <c r="Z64" s="40"/>
      <c r="AA64" s="41"/>
      <c r="AB64" s="81"/>
      <c r="AC64" s="21"/>
      <c r="AD64" s="442" t="str">
        <f t="shared" si="27"/>
        <v/>
      </c>
      <c r="AE64" s="443">
        <f t="shared" si="28"/>
        <v>21.900000000000475</v>
      </c>
      <c r="AF64" s="443" t="str">
        <f t="shared" si="29"/>
        <v/>
      </c>
      <c r="AG64" s="478" t="str">
        <f t="shared" si="21"/>
        <v/>
      </c>
      <c r="AH64" s="443" t="str">
        <f t="shared" si="22"/>
        <v/>
      </c>
      <c r="AI64" s="441" t="str">
        <f t="shared" si="17"/>
        <v/>
      </c>
      <c r="AJ64" s="655" t="str">
        <f t="shared" si="18"/>
        <v/>
      </c>
      <c r="AM64" s="477" t="str" cm="1">
        <f t="array" ref="AM64">_xlfn.XLOOKUP("?*",U64:AA64&amp;"",$U$3:$AA$3,S64,2,-1)</f>
        <v>R1</v>
      </c>
      <c r="AN64" s="477" cm="1">
        <f t="array" ref="AN64">_xlfn.XLOOKUP("?*",U64:AA64&amp;"",U64:AA64,T64,2,-1)</f>
        <v>4.4231999999999996</v>
      </c>
      <c r="AO64" s="477" t="str" cm="1">
        <f t="array" ref="AO64">_xlfn.XLOOKUP("?*",U64:Z64&amp;"",$U$3:$Z$3,S64,2,-1)</f>
        <v>R1</v>
      </c>
      <c r="AP64" s="477" cm="1">
        <f t="array" ref="AP64">_xlfn.XLOOKUP("?*",U64:Z64&amp;"",U64:Z64,T64,2,-1)</f>
        <v>4.4231999999999996</v>
      </c>
      <c r="AQ64" s="477" t="str" cm="1">
        <f t="array" ref="AQ64">_xlfn.XLOOKUP("?*",U64:Y64&amp;"",$U$3:$Y$3,S64,2,-1)</f>
        <v>R1</v>
      </c>
      <c r="AR64" s="477" cm="1">
        <f t="array" ref="AR64">_xlfn.XLOOKUP("?*",U64:Y64&amp;"",U64:Y64,T64,2,-1)</f>
        <v>4.4231999999999996</v>
      </c>
      <c r="AS64" s="477" t="str" cm="1">
        <f t="array" ref="AS64">_xlfn.XLOOKUP("?*",U64:X64&amp;"",$U$3:$X$3,S64,2,-1)</f>
        <v>R1</v>
      </c>
      <c r="AT64" s="477" cm="1">
        <f t="array" ref="AT64">_xlfn.XLOOKUP("?*",U64:X64&amp;"",U64:X64,T64,2,-1)</f>
        <v>4.4231999999999996</v>
      </c>
      <c r="AU64" s="1" t="str">
        <f t="shared" si="23"/>
        <v>R1</v>
      </c>
      <c r="AV64" s="1">
        <f t="shared" si="24"/>
        <v>4.4231999999999996</v>
      </c>
      <c r="AW64" s="1" t="str">
        <f t="shared" si="25"/>
        <v>R1</v>
      </c>
      <c r="AX64" s="1">
        <f t="shared" si="26"/>
        <v>4.4231999999999996</v>
      </c>
    </row>
    <row r="65" spans="1:50" ht="17.100000000000001" customHeight="1">
      <c r="A65" s="502">
        <v>317</v>
      </c>
      <c r="B65" s="594">
        <v>4603</v>
      </c>
      <c r="C65" s="502" t="s">
        <v>96</v>
      </c>
      <c r="D65" s="504" t="s">
        <v>572</v>
      </c>
      <c r="E65" s="504" t="s">
        <v>1460</v>
      </c>
      <c r="F65" s="484" t="s">
        <v>119</v>
      </c>
      <c r="G65" s="485" t="s">
        <v>12</v>
      </c>
      <c r="H65" s="486" t="s">
        <v>10</v>
      </c>
      <c r="I65" s="486" t="s">
        <v>541</v>
      </c>
      <c r="J65" s="486" t="s">
        <v>539</v>
      </c>
      <c r="K65" s="487" t="s">
        <v>270</v>
      </c>
      <c r="L65" s="30" t="s">
        <v>543</v>
      </c>
      <c r="M65" s="31">
        <v>11.254200000000001</v>
      </c>
      <c r="N65" s="563" t="str" cm="1">
        <f t="array" ref="N65">_xlfn.XLOOKUP("?*",U65:Z65&amp;"",$U$3:$Z$3,S65,2,-1)</f>
        <v>H20</v>
      </c>
      <c r="O65" s="565" cm="1">
        <f t="array" ref="O65">_xlfn.XLOOKUP("?*",U65:Z65&amp;"",U65:Z65,T65,2,-1)</f>
        <v>11.1305</v>
      </c>
      <c r="P65" s="92"/>
      <c r="Q65" s="87"/>
      <c r="R65" s="1"/>
      <c r="S65" s="76" t="s">
        <v>1303</v>
      </c>
      <c r="T65" s="34">
        <v>11.1305</v>
      </c>
      <c r="U65" s="39"/>
      <c r="V65" s="40"/>
      <c r="W65" s="40"/>
      <c r="X65" s="40"/>
      <c r="Y65" s="40"/>
      <c r="Z65" s="40"/>
      <c r="AA65" s="41"/>
      <c r="AB65" s="81"/>
      <c r="AC65" s="21"/>
      <c r="AD65" s="442" t="str">
        <f t="shared" si="27"/>
        <v/>
      </c>
      <c r="AE65" s="443" t="str">
        <f t="shared" si="28"/>
        <v/>
      </c>
      <c r="AF65" s="443" t="str">
        <f t="shared" si="29"/>
        <v/>
      </c>
      <c r="AG65" s="478" t="str">
        <f t="shared" si="21"/>
        <v/>
      </c>
      <c r="AH65" s="443" t="str">
        <f t="shared" si="22"/>
        <v/>
      </c>
      <c r="AI65" s="441" t="str">
        <f t="shared" si="17"/>
        <v/>
      </c>
      <c r="AJ65" s="655" t="str">
        <f t="shared" si="18"/>
        <v/>
      </c>
      <c r="AM65" s="477" t="str" cm="1">
        <f t="array" ref="AM65">_xlfn.XLOOKUP("?*",U65:AA65&amp;"",$U$3:$AA$3,S65,2,-1)</f>
        <v>H20</v>
      </c>
      <c r="AN65" s="477" cm="1">
        <f t="array" ref="AN65">_xlfn.XLOOKUP("?*",U65:AA65&amp;"",U65:AA65,T65,2,-1)</f>
        <v>11.1305</v>
      </c>
      <c r="AO65" s="477" t="str" cm="1">
        <f t="array" ref="AO65">_xlfn.XLOOKUP("?*",U65:Z65&amp;"",$U$3:$Z$3,S65,2,-1)</f>
        <v>H20</v>
      </c>
      <c r="AP65" s="477" cm="1">
        <f t="array" ref="AP65">_xlfn.XLOOKUP("?*",U65:Z65&amp;"",U65:Z65,T65,2,-1)</f>
        <v>11.1305</v>
      </c>
      <c r="AQ65" s="477" t="str" cm="1">
        <f t="array" ref="AQ65">_xlfn.XLOOKUP("?*",U65:Y65&amp;"",$U$3:$Y$3,S65,2,-1)</f>
        <v>H20</v>
      </c>
      <c r="AR65" s="477" cm="1">
        <f t="array" ref="AR65">_xlfn.XLOOKUP("?*",U65:Y65&amp;"",U65:Y65,T65,2,-1)</f>
        <v>11.1305</v>
      </c>
      <c r="AS65" s="477" t="str" cm="1">
        <f t="array" ref="AS65">_xlfn.XLOOKUP("?*",U65:X65&amp;"",$U$3:$X$3,S65,2,-1)</f>
        <v>H20</v>
      </c>
      <c r="AT65" s="477" cm="1">
        <f t="array" ref="AT65">_xlfn.XLOOKUP("?*",U65:X65&amp;"",U65:X65,T65,2,-1)</f>
        <v>11.1305</v>
      </c>
      <c r="AU65" s="1" t="str">
        <f t="shared" si="23"/>
        <v>H20</v>
      </c>
      <c r="AV65" s="1">
        <f t="shared" si="24"/>
        <v>11.1305</v>
      </c>
      <c r="AW65" s="1" t="str">
        <f t="shared" si="25"/>
        <v>H20</v>
      </c>
      <c r="AX65" s="1">
        <f t="shared" si="26"/>
        <v>11.1305</v>
      </c>
    </row>
    <row r="66" spans="1:50" ht="17.100000000000001" customHeight="1">
      <c r="A66" s="502">
        <v>318</v>
      </c>
      <c r="B66" s="594">
        <v>4604</v>
      </c>
      <c r="C66" s="502" t="s">
        <v>96</v>
      </c>
      <c r="D66" s="504" t="s">
        <v>1357</v>
      </c>
      <c r="E66" s="504" t="s">
        <v>1357</v>
      </c>
      <c r="F66" s="484" t="s">
        <v>299</v>
      </c>
      <c r="G66" s="485" t="s">
        <v>12</v>
      </c>
      <c r="H66" s="486" t="s">
        <v>10</v>
      </c>
      <c r="I66" s="486" t="s">
        <v>64</v>
      </c>
      <c r="J66" s="486" t="s">
        <v>539</v>
      </c>
      <c r="K66" s="487" t="s">
        <v>270</v>
      </c>
      <c r="L66" s="30"/>
      <c r="M66" s="31"/>
      <c r="N66" s="563" t="str" cm="1">
        <f t="array" ref="N66">_xlfn.XLOOKUP("?*",U66:Z66&amp;"",$U$3:$Z$3,S66,2,-1)</f>
        <v>-</v>
      </c>
      <c r="O66" s="565" t="str" cm="1">
        <f t="array" ref="O66">_xlfn.XLOOKUP("?*",U66:Z66&amp;"",U66:Z66,T66,2,-1)</f>
        <v>-</v>
      </c>
      <c r="P66" s="92"/>
      <c r="Q66" s="505"/>
      <c r="R66" s="14"/>
      <c r="S66" s="76" t="s">
        <v>1354</v>
      </c>
      <c r="T66" s="488" t="s">
        <v>1354</v>
      </c>
      <c r="U66" s="506"/>
      <c r="V66" s="507"/>
      <c r="W66" s="507"/>
      <c r="X66" s="507"/>
      <c r="Y66" s="507"/>
      <c r="Z66" s="507"/>
      <c r="AA66" s="508"/>
      <c r="AB66" s="81"/>
      <c r="AC66" s="509"/>
      <c r="AD66" s="510" t="str">
        <f t="shared" ref="AD66" si="34">IF(U66="","",-(U66-T66)*1000)</f>
        <v/>
      </c>
      <c r="AE66" s="511" t="str">
        <f t="shared" ref="AE66" si="35">IF(V66="","",IF(U66="",-(V66-T66)*1000,-(V66-U66)*1000))</f>
        <v/>
      </c>
      <c r="AF66" s="511" t="str">
        <f t="shared" si="29"/>
        <v/>
      </c>
      <c r="AG66" s="512" t="str">
        <f t="shared" si="21"/>
        <v/>
      </c>
      <c r="AH66" s="443" t="str">
        <f t="shared" si="22"/>
        <v/>
      </c>
      <c r="AI66" s="441" t="str">
        <f t="shared" si="17"/>
        <v/>
      </c>
      <c r="AJ66" s="655" t="str">
        <f t="shared" si="18"/>
        <v/>
      </c>
      <c r="AK66" s="14"/>
      <c r="AL66" s="14"/>
      <c r="AM66" s="477" t="str" cm="1">
        <f t="array" ref="AM66">_xlfn.XLOOKUP("?*",U66:AA66&amp;"",$U$3:$AA$3,S66,2,-1)</f>
        <v>-</v>
      </c>
      <c r="AN66" s="477" t="str" cm="1">
        <f t="array" ref="AN66">_xlfn.XLOOKUP("?*",U66:AA66&amp;"",U66:AA66,T66,2,-1)</f>
        <v>-</v>
      </c>
      <c r="AO66" s="477" t="str" cm="1">
        <f t="array" ref="AO66">_xlfn.XLOOKUP("?*",U66:Z66&amp;"",$U$3:$Z$3,S66,2,-1)</f>
        <v>-</v>
      </c>
      <c r="AP66" s="477" t="str" cm="1">
        <f t="array" ref="AP66">_xlfn.XLOOKUP("?*",U66:Z66&amp;"",U66:Z66,T66,2,-1)</f>
        <v>-</v>
      </c>
      <c r="AQ66" s="477" t="str" cm="1">
        <f t="array" ref="AQ66">_xlfn.XLOOKUP("?*",U66:Y66&amp;"",$U$3:$Y$3,S66,2,-1)</f>
        <v>-</v>
      </c>
      <c r="AR66" s="477" t="str" cm="1">
        <f t="array" ref="AR66">_xlfn.XLOOKUP("?*",U66:Y66&amp;"",U66:Y66,T66,2,-1)</f>
        <v>-</v>
      </c>
      <c r="AS66" s="477" t="str" cm="1">
        <f t="array" ref="AS66">_xlfn.XLOOKUP("?*",U66:X66&amp;"",$U$3:$X$3,S66,2,-1)</f>
        <v>-</v>
      </c>
      <c r="AT66" s="477" t="str" cm="1">
        <f t="array" ref="AT66">_xlfn.XLOOKUP("?*",U66:X66&amp;"",U66:X66,T66,2,-1)</f>
        <v>-</v>
      </c>
      <c r="AU66" s="14" t="str">
        <f t="shared" si="23"/>
        <v>-</v>
      </c>
      <c r="AV66" s="14" t="str">
        <f t="shared" si="24"/>
        <v>-</v>
      </c>
      <c r="AW66" s="14" t="str">
        <f t="shared" si="25"/>
        <v>-</v>
      </c>
      <c r="AX66" s="14" t="str">
        <f t="shared" si="26"/>
        <v>-</v>
      </c>
    </row>
    <row r="67" spans="1:50" ht="17.100000000000001" customHeight="1">
      <c r="A67" s="10">
        <v>319</v>
      </c>
      <c r="B67" s="592">
        <v>4605</v>
      </c>
      <c r="C67" s="10" t="s">
        <v>96</v>
      </c>
      <c r="D67" s="69" t="s">
        <v>1111</v>
      </c>
      <c r="E67" s="69" t="s">
        <v>1357</v>
      </c>
      <c r="F67" s="70" t="s">
        <v>1491</v>
      </c>
      <c r="G67" s="26" t="s">
        <v>12</v>
      </c>
      <c r="H67" s="8" t="s">
        <v>31</v>
      </c>
      <c r="I67" s="8" t="s">
        <v>64</v>
      </c>
      <c r="J67" s="8" t="s">
        <v>539</v>
      </c>
      <c r="K67" s="9" t="s">
        <v>270</v>
      </c>
      <c r="L67" s="30" t="s">
        <v>543</v>
      </c>
      <c r="M67" s="31">
        <v>9.5090000000000003</v>
      </c>
      <c r="N67" s="563" t="str" cm="1">
        <f t="array" ref="N67">_xlfn.XLOOKUP("?*",U67:Z67&amp;"",$U$3:$Z$3,S67,2,-1)</f>
        <v>R4</v>
      </c>
      <c r="O67" s="565" cm="1">
        <f t="array" ref="O67">_xlfn.XLOOKUP("?*",U67:Z67&amp;"",U67:Z67,T67,2,-1)</f>
        <v>9.3406000000000002</v>
      </c>
      <c r="P67" s="92"/>
      <c r="Q67" s="87"/>
      <c r="R67" s="1"/>
      <c r="S67" s="76" t="s">
        <v>1304</v>
      </c>
      <c r="T67" s="34">
        <v>9.3698999999999995</v>
      </c>
      <c r="U67" s="39"/>
      <c r="V67" s="40">
        <v>9.3492999999999995</v>
      </c>
      <c r="W67" s="40"/>
      <c r="X67" s="40"/>
      <c r="Y67" s="40">
        <v>9.3406000000000002</v>
      </c>
      <c r="Z67" s="40"/>
      <c r="AA67" s="41"/>
      <c r="AB67" s="81"/>
      <c r="AC67" s="21"/>
      <c r="AD67" s="442" t="str">
        <f t="shared" si="27"/>
        <v/>
      </c>
      <c r="AE67" s="443">
        <f t="shared" si="28"/>
        <v>20.599999999999952</v>
      </c>
      <c r="AF67" s="443" t="str">
        <f t="shared" si="29"/>
        <v/>
      </c>
      <c r="AG67" s="478" t="str">
        <f t="shared" si="21"/>
        <v/>
      </c>
      <c r="AH67" s="443">
        <f t="shared" si="22"/>
        <v>8.6999999999992639</v>
      </c>
      <c r="AI67" s="441" t="str">
        <f t="shared" si="17"/>
        <v/>
      </c>
      <c r="AJ67" s="655" t="str">
        <f t="shared" si="18"/>
        <v/>
      </c>
      <c r="AM67" s="477" t="str" cm="1">
        <f t="array" ref="AM67">_xlfn.XLOOKUP("?*",U67:AA67&amp;"",$U$3:$AA$3,S67,2,-1)</f>
        <v>R4</v>
      </c>
      <c r="AN67" s="477" cm="1">
        <f t="array" ref="AN67">_xlfn.XLOOKUP("?*",U67:AA67&amp;"",U67:AA67,T67,2,-1)</f>
        <v>9.3406000000000002</v>
      </c>
      <c r="AO67" s="477" t="str" cm="1">
        <f t="array" ref="AO67">_xlfn.XLOOKUP("?*",U67:Z67&amp;"",$U$3:$Z$3,S67,2,-1)</f>
        <v>R4</v>
      </c>
      <c r="AP67" s="477" cm="1">
        <f t="array" ref="AP67">_xlfn.XLOOKUP("?*",U67:Z67&amp;"",U67:Z67,T67,2,-1)</f>
        <v>9.3406000000000002</v>
      </c>
      <c r="AQ67" s="477" t="str" cm="1">
        <f t="array" ref="AQ67">_xlfn.XLOOKUP("?*",U67:Y67&amp;"",$U$3:$Y$3,S67,2,-1)</f>
        <v>R4</v>
      </c>
      <c r="AR67" s="477" cm="1">
        <f t="array" ref="AR67">_xlfn.XLOOKUP("?*",U67:Y67&amp;"",U67:Y67,T67,2,-1)</f>
        <v>9.3406000000000002</v>
      </c>
      <c r="AS67" s="477" t="str" cm="1">
        <f t="array" ref="AS67">_xlfn.XLOOKUP("?*",U67:X67&amp;"",$U$3:$X$3,S67,2,-1)</f>
        <v>R1</v>
      </c>
      <c r="AT67" s="477" cm="1">
        <f t="array" ref="AT67">_xlfn.XLOOKUP("?*",U67:X67&amp;"",U67:X67,T67,2,-1)</f>
        <v>9.3492999999999995</v>
      </c>
      <c r="AU67" s="1" t="str">
        <f t="shared" si="23"/>
        <v>R1</v>
      </c>
      <c r="AV67" s="1">
        <f t="shared" si="24"/>
        <v>9.3492999999999995</v>
      </c>
      <c r="AW67" s="1" t="str">
        <f t="shared" si="25"/>
        <v>R1</v>
      </c>
      <c r="AX67" s="1">
        <f t="shared" si="26"/>
        <v>9.3492999999999995</v>
      </c>
    </row>
    <row r="68" spans="1:50" ht="17.100000000000001" customHeight="1">
      <c r="A68" s="502">
        <v>320</v>
      </c>
      <c r="B68" s="503" t="s">
        <v>1358</v>
      </c>
      <c r="C68" s="502" t="s">
        <v>96</v>
      </c>
      <c r="D68" s="504" t="s">
        <v>1359</v>
      </c>
      <c r="E68" s="504" t="s">
        <v>1359</v>
      </c>
      <c r="F68" s="484" t="s">
        <v>123</v>
      </c>
      <c r="G68" s="485" t="s">
        <v>9</v>
      </c>
      <c r="H68" s="486" t="s">
        <v>10</v>
      </c>
      <c r="I68" s="486" t="s">
        <v>64</v>
      </c>
      <c r="J68" s="486" t="s">
        <v>539</v>
      </c>
      <c r="K68" s="487" t="s">
        <v>270</v>
      </c>
      <c r="L68" s="30"/>
      <c r="M68" s="31"/>
      <c r="N68" s="563" t="str" cm="1">
        <f t="array" ref="N68">_xlfn.XLOOKUP("?*",U68:Z68&amp;"",$U$3:$Z$3,S68,2,-1)</f>
        <v>-</v>
      </c>
      <c r="O68" s="565" t="str" cm="1">
        <f t="array" ref="O68">_xlfn.XLOOKUP("?*",U68:Z68&amp;"",U68:Z68,T68,2,-1)</f>
        <v>-</v>
      </c>
      <c r="P68" s="92"/>
      <c r="Q68" s="505"/>
      <c r="R68" s="14"/>
      <c r="S68" s="76" t="s">
        <v>1354</v>
      </c>
      <c r="T68" s="488" t="s">
        <v>1354</v>
      </c>
      <c r="U68" s="506"/>
      <c r="V68" s="507"/>
      <c r="W68" s="507"/>
      <c r="X68" s="507"/>
      <c r="Y68" s="507"/>
      <c r="Z68" s="507"/>
      <c r="AA68" s="508"/>
      <c r="AB68" s="81"/>
      <c r="AC68" s="509"/>
      <c r="AD68" s="510" t="str">
        <f t="shared" ref="AD68" si="36">IF(U68="","",-(U68-T68)*1000)</f>
        <v/>
      </c>
      <c r="AE68" s="511" t="str">
        <f t="shared" ref="AE68" si="37">IF(V68="","",IF(U68="",-(V68-T68)*1000,-(V68-U68)*1000))</f>
        <v/>
      </c>
      <c r="AF68" s="511" t="str">
        <f t="shared" si="29"/>
        <v/>
      </c>
      <c r="AG68" s="512" t="str">
        <f t="shared" si="21"/>
        <v/>
      </c>
      <c r="AH68" s="443" t="str">
        <f t="shared" si="22"/>
        <v/>
      </c>
      <c r="AI68" s="441" t="str">
        <f t="shared" si="17"/>
        <v/>
      </c>
      <c r="AJ68" s="655" t="str">
        <f>IF(AA68="","",($AN68-$AP68)*(-1000))</f>
        <v/>
      </c>
      <c r="AK68" s="14"/>
      <c r="AL68" s="14"/>
      <c r="AM68" s="477" t="str" cm="1">
        <f t="array" ref="AM68">_xlfn.XLOOKUP("?*",U68:AA68&amp;"",$U$3:$AA$3,S68,2,-1)</f>
        <v>-</v>
      </c>
      <c r="AN68" s="477" t="str" cm="1">
        <f t="array" ref="AN68">_xlfn.XLOOKUP("?*",U68:AA68&amp;"",U68:AA68,T68,2,-1)</f>
        <v>-</v>
      </c>
      <c r="AO68" s="477" t="str" cm="1">
        <f t="array" ref="AO68">_xlfn.XLOOKUP("?*",U68:Z68&amp;"",$U$3:$Z$3,S68,2,-1)</f>
        <v>-</v>
      </c>
      <c r="AP68" s="477" t="str" cm="1">
        <f t="array" ref="AP68">_xlfn.XLOOKUP("?*",U68:Z68&amp;"",U68:Z68,T68,2,-1)</f>
        <v>-</v>
      </c>
      <c r="AQ68" s="477" t="str" cm="1">
        <f t="array" ref="AQ68">_xlfn.XLOOKUP("?*",U68:Y68&amp;"",$U$3:$Y$3,S68,2,-1)</f>
        <v>-</v>
      </c>
      <c r="AR68" s="477" t="str" cm="1">
        <f t="array" ref="AR68">_xlfn.XLOOKUP("?*",U68:Y68&amp;"",U68:Y68,T68,2,-1)</f>
        <v>-</v>
      </c>
      <c r="AS68" s="477" t="str" cm="1">
        <f t="array" ref="AS68">_xlfn.XLOOKUP("?*",U68:X68&amp;"",$U$3:$X$3,S68,2,-1)</f>
        <v>-</v>
      </c>
      <c r="AT68" s="477" t="str" cm="1">
        <f t="array" ref="AT68">_xlfn.XLOOKUP("?*",U68:X68&amp;"",U68:X68,T68,2,-1)</f>
        <v>-</v>
      </c>
      <c r="AU68" s="14" t="str">
        <f t="shared" si="23"/>
        <v>-</v>
      </c>
      <c r="AV68" s="14" t="str">
        <f t="shared" si="24"/>
        <v>-</v>
      </c>
      <c r="AW68" s="14" t="str">
        <f t="shared" si="25"/>
        <v>-</v>
      </c>
      <c r="AX68" s="14" t="str">
        <f t="shared" si="26"/>
        <v>-</v>
      </c>
    </row>
    <row r="69" spans="1:50" ht="17.100000000000001" customHeight="1">
      <c r="A69" s="10">
        <v>321</v>
      </c>
      <c r="B69" s="53" t="s">
        <v>446</v>
      </c>
      <c r="C69" s="10" t="s">
        <v>96</v>
      </c>
      <c r="D69" s="69" t="s">
        <v>1119</v>
      </c>
      <c r="E69" s="69" t="s">
        <v>1359</v>
      </c>
      <c r="F69" s="70" t="s">
        <v>125</v>
      </c>
      <c r="G69" s="26" t="s">
        <v>9</v>
      </c>
      <c r="H69" s="8" t="s">
        <v>31</v>
      </c>
      <c r="I69" s="8" t="s">
        <v>64</v>
      </c>
      <c r="J69" s="8" t="s">
        <v>539</v>
      </c>
      <c r="K69" s="9" t="s">
        <v>270</v>
      </c>
      <c r="L69" s="30" t="s">
        <v>543</v>
      </c>
      <c r="M69" s="31">
        <v>8.3263999999999996</v>
      </c>
      <c r="N69" s="563" t="str" cm="1">
        <f t="array" ref="N69">_xlfn.XLOOKUP("?*",U69:Z69&amp;"",$U$3:$Z$3,S69,2,-1)</f>
        <v>R5</v>
      </c>
      <c r="O69" s="565" cm="1">
        <f t="array" ref="O69">_xlfn.XLOOKUP("?*",U69:Z69&amp;"",U69:Z69,T69,2,-1)</f>
        <v>8.1942000000000004</v>
      </c>
      <c r="P69" s="93"/>
      <c r="Q69" s="88"/>
      <c r="R69" s="1"/>
      <c r="S69" s="77" t="s">
        <v>1299</v>
      </c>
      <c r="T69" s="35">
        <v>8.2088000000000001</v>
      </c>
      <c r="U69" s="42"/>
      <c r="V69" s="43"/>
      <c r="W69" s="43"/>
      <c r="X69" s="43"/>
      <c r="Y69" s="43"/>
      <c r="Z69" s="43">
        <v>8.1942000000000004</v>
      </c>
      <c r="AA69" s="44"/>
      <c r="AB69" s="82"/>
      <c r="AC69" s="22"/>
      <c r="AD69" s="444" t="str">
        <f t="shared" si="27"/>
        <v/>
      </c>
      <c r="AE69" s="441" t="str">
        <f t="shared" si="28"/>
        <v/>
      </c>
      <c r="AF69" s="441" t="str">
        <f t="shared" si="29"/>
        <v/>
      </c>
      <c r="AG69" s="478" t="str">
        <f t="shared" ref="AG69:AG100" si="38">IF(X69="","",($AT69-$AV69)*(-1000))</f>
        <v/>
      </c>
      <c r="AH69" s="443" t="str">
        <f t="shared" ref="AH69:AH100" si="39">IF(Y69="","",($AR69-$AT69)*(-1000))</f>
        <v/>
      </c>
      <c r="AI69" s="441">
        <f t="shared" si="17"/>
        <v>14.599999999999724</v>
      </c>
      <c r="AJ69" s="655" t="str">
        <f t="shared" si="18"/>
        <v/>
      </c>
      <c r="AM69" s="477" t="str" cm="1">
        <f t="array" ref="AM69">_xlfn.XLOOKUP("?*",U69:AA69&amp;"",$U$3:$AA$3,S69,2,-1)</f>
        <v>R5</v>
      </c>
      <c r="AN69" s="477" cm="1">
        <f t="array" ref="AN69">_xlfn.XLOOKUP("?*",U69:AA69&amp;"",U69:AA69,T69,2,-1)</f>
        <v>8.1942000000000004</v>
      </c>
      <c r="AO69" s="477" t="str" cm="1">
        <f t="array" ref="AO69">_xlfn.XLOOKUP("?*",U69:Z69&amp;"",$U$3:$Z$3,S69,2,-1)</f>
        <v>R5</v>
      </c>
      <c r="AP69" s="477" cm="1">
        <f t="array" ref="AP69">_xlfn.XLOOKUP("?*",U69:Z69&amp;"",U69:Z69,T69,2,-1)</f>
        <v>8.1942000000000004</v>
      </c>
      <c r="AQ69" s="477" t="str" cm="1">
        <f t="array" ref="AQ69">_xlfn.XLOOKUP("?*",U69:Y69&amp;"",$U$3:$Y$3,S69,2,-1)</f>
        <v>H29</v>
      </c>
      <c r="AR69" s="477" cm="1">
        <f t="array" ref="AR69">_xlfn.XLOOKUP("?*",U69:Y69&amp;"",U69:Y69,T69,2,-1)</f>
        <v>8.2088000000000001</v>
      </c>
      <c r="AS69" s="477" t="str" cm="1">
        <f t="array" ref="AS69">_xlfn.XLOOKUP("?*",U69:X69&amp;"",$U$3:$X$3,S69,2,-1)</f>
        <v>H29</v>
      </c>
      <c r="AT69" s="477" cm="1">
        <f t="array" ref="AT69">_xlfn.XLOOKUP("?*",U69:X69&amp;"",U69:X69,T69,2,-1)</f>
        <v>8.2088000000000001</v>
      </c>
      <c r="AU69" s="1" t="str">
        <f t="shared" ref="AU69:AU100" si="40">IF(W69="",IF(V69="",IF(U69="",$S69,$U$3),$V$3),$W$3)</f>
        <v>H29</v>
      </c>
      <c r="AV69" s="1">
        <f t="shared" ref="AV69:AV100" si="41">IF(W69="",IF(V69="",IF(U69="",T69,U69),V69),W69)</f>
        <v>8.2088000000000001</v>
      </c>
      <c r="AW69" s="1" t="str">
        <f t="shared" ref="AW69:AW100" si="42">IF(V69="",IF(U69="",$S69,$U$3),$V$3)</f>
        <v>H29</v>
      </c>
      <c r="AX69" s="1">
        <f t="shared" ref="AX69:AX100" si="43">IF(V69="",IF(U69="",T69,U69),V69)</f>
        <v>8.2088000000000001</v>
      </c>
    </row>
    <row r="70" spans="1:50" ht="17.100000000000001" customHeight="1">
      <c r="A70" s="10">
        <v>322</v>
      </c>
      <c r="B70" s="53" t="s">
        <v>448</v>
      </c>
      <c r="C70" s="10" t="s">
        <v>96</v>
      </c>
      <c r="D70" s="69" t="s">
        <v>657</v>
      </c>
      <c r="E70" s="69" t="s">
        <v>1461</v>
      </c>
      <c r="F70" s="70" t="s">
        <v>126</v>
      </c>
      <c r="G70" s="26" t="s">
        <v>9</v>
      </c>
      <c r="H70" s="8" t="s">
        <v>127</v>
      </c>
      <c r="I70" s="8" t="s">
        <v>541</v>
      </c>
      <c r="J70" s="8" t="s">
        <v>54</v>
      </c>
      <c r="K70" s="9" t="s">
        <v>270</v>
      </c>
      <c r="L70" s="30" t="s">
        <v>545</v>
      </c>
      <c r="M70" s="31">
        <v>3.8271999999999999</v>
      </c>
      <c r="N70" s="563" t="str" cm="1">
        <f t="array" ref="N70">_xlfn.XLOOKUP("?*",U70:Z70&amp;"",$U$3:$Z$3,S70,2,-1)</f>
        <v>R5</v>
      </c>
      <c r="O70" s="565" cm="1">
        <f t="array" ref="O70">_xlfn.XLOOKUP("?*",U70:Z70&amp;"",U70:Z70,T70,2,-1)</f>
        <v>3.5131999999999999</v>
      </c>
      <c r="P70" s="92"/>
      <c r="Q70" s="87"/>
      <c r="R70" s="1"/>
      <c r="S70" s="76" t="s">
        <v>1296</v>
      </c>
      <c r="T70" s="34">
        <v>3.5541999999999998</v>
      </c>
      <c r="U70" s="39"/>
      <c r="V70" s="40">
        <v>3.5354000000000001</v>
      </c>
      <c r="W70" s="40"/>
      <c r="X70" s="40"/>
      <c r="Y70" s="40"/>
      <c r="Z70" s="40">
        <v>3.5131999999999999</v>
      </c>
      <c r="AA70" s="41"/>
      <c r="AB70" s="81"/>
      <c r="AC70" s="21"/>
      <c r="AD70" s="442" t="str">
        <f t="shared" si="27"/>
        <v/>
      </c>
      <c r="AE70" s="443">
        <f t="shared" si="28"/>
        <v>18.799999999999706</v>
      </c>
      <c r="AF70" s="443" t="str">
        <f t="shared" si="29"/>
        <v/>
      </c>
      <c r="AG70" s="478" t="str">
        <f t="shared" si="38"/>
        <v/>
      </c>
      <c r="AH70" s="443" t="str">
        <f t="shared" si="39"/>
        <v/>
      </c>
      <c r="AI70" s="441">
        <f t="shared" si="17"/>
        <v>22.20000000000022</v>
      </c>
      <c r="AJ70" s="655" t="str">
        <f t="shared" si="18"/>
        <v/>
      </c>
      <c r="AM70" s="477" t="str" cm="1">
        <f t="array" ref="AM70">_xlfn.XLOOKUP("?*",U70:AA70&amp;"",$U$3:$AA$3,S70,2,-1)</f>
        <v>R5</v>
      </c>
      <c r="AN70" s="477" cm="1">
        <f t="array" ref="AN70">_xlfn.XLOOKUP("?*",U70:AA70&amp;"",U70:AA70,T70,2,-1)</f>
        <v>3.5131999999999999</v>
      </c>
      <c r="AO70" s="477" t="str" cm="1">
        <f t="array" ref="AO70">_xlfn.XLOOKUP("?*",U70:Z70&amp;"",$U$3:$Z$3,S70,2,-1)</f>
        <v>R5</v>
      </c>
      <c r="AP70" s="477" cm="1">
        <f t="array" ref="AP70">_xlfn.XLOOKUP("?*",U70:Z70&amp;"",U70:Z70,T70,2,-1)</f>
        <v>3.5131999999999999</v>
      </c>
      <c r="AQ70" s="477" t="str" cm="1">
        <f t="array" ref="AQ70">_xlfn.XLOOKUP("?*",U70:Y70&amp;"",$U$3:$Y$3,S70,2,-1)</f>
        <v>R1</v>
      </c>
      <c r="AR70" s="477" cm="1">
        <f t="array" ref="AR70">_xlfn.XLOOKUP("?*",U70:Y70&amp;"",U70:Y70,T70,2,-1)</f>
        <v>3.5354000000000001</v>
      </c>
      <c r="AS70" s="477" t="str" cm="1">
        <f t="array" ref="AS70">_xlfn.XLOOKUP("?*",U70:X70&amp;"",$U$3:$X$3,S70,2,-1)</f>
        <v>R1</v>
      </c>
      <c r="AT70" s="477" cm="1">
        <f t="array" ref="AT70">_xlfn.XLOOKUP("?*",U70:X70&amp;"",U70:X70,T70,2,-1)</f>
        <v>3.5354000000000001</v>
      </c>
      <c r="AU70" s="1" t="str">
        <f t="shared" si="40"/>
        <v>R1</v>
      </c>
      <c r="AV70" s="1">
        <f t="shared" si="41"/>
        <v>3.5354000000000001</v>
      </c>
      <c r="AW70" s="1" t="str">
        <f t="shared" si="42"/>
        <v>R1</v>
      </c>
      <c r="AX70" s="1">
        <f t="shared" si="43"/>
        <v>3.5354000000000001</v>
      </c>
    </row>
    <row r="71" spans="1:50" ht="17.100000000000001" customHeight="1">
      <c r="A71" s="10">
        <v>323</v>
      </c>
      <c r="B71" s="53" t="s">
        <v>450</v>
      </c>
      <c r="C71" s="10" t="s">
        <v>96</v>
      </c>
      <c r="D71" s="69" t="s">
        <v>658</v>
      </c>
      <c r="E71" s="69" t="s">
        <v>1462</v>
      </c>
      <c r="F71" s="70" t="s">
        <v>1492</v>
      </c>
      <c r="G71" s="26" t="s">
        <v>9</v>
      </c>
      <c r="H71" s="8" t="s">
        <v>31</v>
      </c>
      <c r="I71" s="8" t="s">
        <v>541</v>
      </c>
      <c r="J71" s="8" t="s">
        <v>539</v>
      </c>
      <c r="K71" s="9" t="s">
        <v>270</v>
      </c>
      <c r="L71" s="30" t="s">
        <v>545</v>
      </c>
      <c r="M71" s="31">
        <v>3.4984000000000002</v>
      </c>
      <c r="N71" s="563" t="str" cm="1">
        <f t="array" ref="N71">_xlfn.XLOOKUP("?*",U71:Z71&amp;"",$U$3:$Z$3,S71,2,-1)</f>
        <v>R1</v>
      </c>
      <c r="O71" s="565" cm="1">
        <f t="array" ref="O71">_xlfn.XLOOKUP("?*",U71:Z71&amp;"",U71:Z71,T71,2,-1)</f>
        <v>3.3675000000000002</v>
      </c>
      <c r="P71" s="92"/>
      <c r="Q71" s="87"/>
      <c r="R71" s="1"/>
      <c r="S71" s="76" t="s">
        <v>1299</v>
      </c>
      <c r="T71" s="34">
        <v>3.3746999999999998</v>
      </c>
      <c r="U71" s="39"/>
      <c r="V71" s="40">
        <v>3.3675000000000002</v>
      </c>
      <c r="W71" s="40"/>
      <c r="X71" s="40"/>
      <c r="Y71" s="40"/>
      <c r="Z71" s="40"/>
      <c r="AA71" s="41"/>
      <c r="AB71" s="81"/>
      <c r="AC71" s="21"/>
      <c r="AD71" s="442" t="str">
        <f t="shared" si="27"/>
        <v/>
      </c>
      <c r="AE71" s="443">
        <f t="shared" si="28"/>
        <v>7.1999999999996511</v>
      </c>
      <c r="AF71" s="443" t="str">
        <f t="shared" ref="AF71:AF102" si="44">IF(W71="","",(AV71-AX71)*(-1000))</f>
        <v/>
      </c>
      <c r="AG71" s="478" t="str">
        <f t="shared" si="38"/>
        <v/>
      </c>
      <c r="AH71" s="443" t="str">
        <f t="shared" si="39"/>
        <v/>
      </c>
      <c r="AI71" s="441" t="str">
        <f t="shared" ref="AI71:AI80" si="45">IF(Z71="","",($AP71-$AR71)*(-1000))</f>
        <v/>
      </c>
      <c r="AJ71" s="655" t="str">
        <f t="shared" ref="AJ71:AJ92" si="46">IF(AA71="","",($AN71-$AP71)*(-1000))</f>
        <v/>
      </c>
      <c r="AM71" s="477" t="str" cm="1">
        <f t="array" ref="AM71">_xlfn.XLOOKUP("?*",U71:AA71&amp;"",$U$3:$AA$3,S71,2,-1)</f>
        <v>R1</v>
      </c>
      <c r="AN71" s="477" cm="1">
        <f t="array" ref="AN71">_xlfn.XLOOKUP("?*",U71:AA71&amp;"",U71:AA71,T71,2,-1)</f>
        <v>3.3675000000000002</v>
      </c>
      <c r="AO71" s="477" t="str" cm="1">
        <f t="array" ref="AO71">_xlfn.XLOOKUP("?*",U71:Z71&amp;"",$U$3:$Z$3,S71,2,-1)</f>
        <v>R1</v>
      </c>
      <c r="AP71" s="477" cm="1">
        <f t="array" ref="AP71">_xlfn.XLOOKUP("?*",U71:Z71&amp;"",U71:Z71,T71,2,-1)</f>
        <v>3.3675000000000002</v>
      </c>
      <c r="AQ71" s="477" t="str" cm="1">
        <f t="array" ref="AQ71">_xlfn.XLOOKUP("?*",U71:Y71&amp;"",$U$3:$Y$3,S71,2,-1)</f>
        <v>R1</v>
      </c>
      <c r="AR71" s="477" cm="1">
        <f t="array" ref="AR71">_xlfn.XLOOKUP("?*",U71:Y71&amp;"",U71:Y71,T71,2,-1)</f>
        <v>3.3675000000000002</v>
      </c>
      <c r="AS71" s="477" t="str" cm="1">
        <f t="array" ref="AS71">_xlfn.XLOOKUP("?*",U71:X71&amp;"",$U$3:$X$3,S71,2,-1)</f>
        <v>R1</v>
      </c>
      <c r="AT71" s="477" cm="1">
        <f t="array" ref="AT71">_xlfn.XLOOKUP("?*",U71:X71&amp;"",U71:X71,T71,2,-1)</f>
        <v>3.3675000000000002</v>
      </c>
      <c r="AU71" s="1" t="str">
        <f t="shared" si="40"/>
        <v>R1</v>
      </c>
      <c r="AV71" s="1">
        <f t="shared" si="41"/>
        <v>3.3675000000000002</v>
      </c>
      <c r="AW71" s="1" t="str">
        <f t="shared" si="42"/>
        <v>R1</v>
      </c>
      <c r="AX71" s="1">
        <f t="shared" si="43"/>
        <v>3.3675000000000002</v>
      </c>
    </row>
    <row r="72" spans="1:50" ht="17.100000000000001" customHeight="1">
      <c r="A72" s="10">
        <v>324</v>
      </c>
      <c r="B72" s="53" t="s">
        <v>452</v>
      </c>
      <c r="C72" s="10" t="s">
        <v>96</v>
      </c>
      <c r="D72" s="69" t="s">
        <v>875</v>
      </c>
      <c r="E72" s="69" t="s">
        <v>1360</v>
      </c>
      <c r="F72" s="70" t="s">
        <v>1418</v>
      </c>
      <c r="G72" s="26" t="s">
        <v>9</v>
      </c>
      <c r="H72" s="8" t="s">
        <v>31</v>
      </c>
      <c r="I72" s="8" t="s">
        <v>64</v>
      </c>
      <c r="J72" s="8" t="s">
        <v>54</v>
      </c>
      <c r="K72" s="9" t="s">
        <v>270</v>
      </c>
      <c r="L72" s="30" t="s">
        <v>545</v>
      </c>
      <c r="M72" s="31">
        <v>5.1765999999999996</v>
      </c>
      <c r="N72" s="563" t="str" cm="1">
        <f t="array" ref="N72">_xlfn.XLOOKUP("?*",U72:Z72&amp;"",$U$3:$Z$3,S72,2,-1)</f>
        <v>R1</v>
      </c>
      <c r="O72" s="565" cm="1">
        <f t="array" ref="O72">_xlfn.XLOOKUP("?*",U72:Z72&amp;"",U72:Z72,T72,2,-1)</f>
        <v>4.9245000000000001</v>
      </c>
      <c r="P72" s="92"/>
      <c r="Q72" s="87"/>
      <c r="R72" s="1"/>
      <c r="S72" s="76" t="s">
        <v>1296</v>
      </c>
      <c r="T72" s="34">
        <v>4.9382000000000001</v>
      </c>
      <c r="U72" s="39"/>
      <c r="V72" s="40">
        <v>4.9245000000000001</v>
      </c>
      <c r="W72" s="40"/>
      <c r="X72" s="40"/>
      <c r="Y72" s="40"/>
      <c r="Z72" s="40"/>
      <c r="AA72" s="41"/>
      <c r="AB72" s="81"/>
      <c r="AC72" s="21"/>
      <c r="AD72" s="442" t="str">
        <f t="shared" si="27"/>
        <v/>
      </c>
      <c r="AE72" s="443">
        <f t="shared" si="28"/>
        <v>13.700000000000045</v>
      </c>
      <c r="AF72" s="443" t="str">
        <f t="shared" si="44"/>
        <v/>
      </c>
      <c r="AG72" s="478" t="str">
        <f t="shared" si="38"/>
        <v/>
      </c>
      <c r="AH72" s="443" t="str">
        <f t="shared" si="39"/>
        <v/>
      </c>
      <c r="AI72" s="441" t="str">
        <f t="shared" si="45"/>
        <v/>
      </c>
      <c r="AJ72" s="655" t="str">
        <f t="shared" si="46"/>
        <v/>
      </c>
      <c r="AM72" s="477" t="str" cm="1">
        <f t="array" ref="AM72">_xlfn.XLOOKUP("?*",U72:AA72&amp;"",$U$3:$AA$3,S72,2,-1)</f>
        <v>R1</v>
      </c>
      <c r="AN72" s="477" cm="1">
        <f t="array" ref="AN72">_xlfn.XLOOKUP("?*",U72:AA72&amp;"",U72:AA72,T72,2,-1)</f>
        <v>4.9245000000000001</v>
      </c>
      <c r="AO72" s="477" t="str" cm="1">
        <f t="array" ref="AO72">_xlfn.XLOOKUP("?*",U72:Z72&amp;"",$U$3:$Z$3,S72,2,-1)</f>
        <v>R1</v>
      </c>
      <c r="AP72" s="477" cm="1">
        <f t="array" ref="AP72">_xlfn.XLOOKUP("?*",U72:Z72&amp;"",U72:Z72,T72,2,-1)</f>
        <v>4.9245000000000001</v>
      </c>
      <c r="AQ72" s="477" t="str" cm="1">
        <f t="array" ref="AQ72">_xlfn.XLOOKUP("?*",U72:Y72&amp;"",$U$3:$Y$3,S72,2,-1)</f>
        <v>R1</v>
      </c>
      <c r="AR72" s="477" cm="1">
        <f t="array" ref="AR72">_xlfn.XLOOKUP("?*",U72:Y72&amp;"",U72:Y72,T72,2,-1)</f>
        <v>4.9245000000000001</v>
      </c>
      <c r="AS72" s="477" t="str" cm="1">
        <f t="array" ref="AS72">_xlfn.XLOOKUP("?*",U72:X72&amp;"",$U$3:$X$3,S72,2,-1)</f>
        <v>R1</v>
      </c>
      <c r="AT72" s="477" cm="1">
        <f t="array" ref="AT72">_xlfn.XLOOKUP("?*",U72:X72&amp;"",U72:X72,T72,2,-1)</f>
        <v>4.9245000000000001</v>
      </c>
      <c r="AU72" s="1" t="str">
        <f t="shared" si="40"/>
        <v>R1</v>
      </c>
      <c r="AV72" s="1">
        <f t="shared" si="41"/>
        <v>4.9245000000000001</v>
      </c>
      <c r="AW72" s="1" t="str">
        <f t="shared" si="42"/>
        <v>R1</v>
      </c>
      <c r="AX72" s="1">
        <f t="shared" si="43"/>
        <v>4.9245000000000001</v>
      </c>
    </row>
    <row r="73" spans="1:50" ht="17.100000000000001" customHeight="1">
      <c r="A73" s="10">
        <v>325</v>
      </c>
      <c r="B73" s="53" t="s">
        <v>453</v>
      </c>
      <c r="C73" s="10" t="s">
        <v>96</v>
      </c>
      <c r="D73" s="69" t="s">
        <v>1118</v>
      </c>
      <c r="E73" s="69" t="s">
        <v>1360</v>
      </c>
      <c r="F73" s="70" t="s">
        <v>130</v>
      </c>
      <c r="G73" s="26" t="s">
        <v>9</v>
      </c>
      <c r="H73" s="8" t="s">
        <v>31</v>
      </c>
      <c r="I73" s="8" t="s">
        <v>64</v>
      </c>
      <c r="J73" s="8" t="s">
        <v>539</v>
      </c>
      <c r="K73" s="9" t="s">
        <v>270</v>
      </c>
      <c r="L73" s="30" t="s">
        <v>545</v>
      </c>
      <c r="M73" s="31">
        <v>4.8598999999999997</v>
      </c>
      <c r="N73" s="563" t="str" cm="1">
        <f t="array" ref="N73">_xlfn.XLOOKUP("?*",U73:Z73&amp;"",$U$3:$Z$3,S73,2,-1)</f>
        <v>R1</v>
      </c>
      <c r="O73" s="565" cm="1">
        <f t="array" ref="O73">_xlfn.XLOOKUP("?*",U73:Z73&amp;"",U73:Z73,T73,2,-1)</f>
        <v>4.7450000000000001</v>
      </c>
      <c r="P73" s="92"/>
      <c r="Q73" s="87"/>
      <c r="R73" s="1"/>
      <c r="S73" s="76" t="s">
        <v>1299</v>
      </c>
      <c r="T73" s="34">
        <v>4.7506000000000004</v>
      </c>
      <c r="U73" s="39"/>
      <c r="V73" s="40">
        <v>4.7450000000000001</v>
      </c>
      <c r="W73" s="40"/>
      <c r="X73" s="40"/>
      <c r="Y73" s="40"/>
      <c r="Z73" s="40"/>
      <c r="AA73" s="41"/>
      <c r="AB73" s="81"/>
      <c r="AC73" s="21"/>
      <c r="AD73" s="442" t="str">
        <f t="shared" si="27"/>
        <v/>
      </c>
      <c r="AE73" s="443">
        <f t="shared" si="28"/>
        <v>5.6000000000002714</v>
      </c>
      <c r="AF73" s="443" t="str">
        <f t="shared" si="44"/>
        <v/>
      </c>
      <c r="AG73" s="478" t="str">
        <f t="shared" si="38"/>
        <v/>
      </c>
      <c r="AH73" s="443" t="str">
        <f t="shared" si="39"/>
        <v/>
      </c>
      <c r="AI73" s="441" t="str">
        <f t="shared" si="45"/>
        <v/>
      </c>
      <c r="AJ73" s="655" t="str">
        <f t="shared" si="46"/>
        <v/>
      </c>
      <c r="AM73" s="477" t="str" cm="1">
        <f t="array" ref="AM73">_xlfn.XLOOKUP("?*",U73:AA73&amp;"",$U$3:$AA$3,S73,2,-1)</f>
        <v>R1</v>
      </c>
      <c r="AN73" s="477" cm="1">
        <f t="array" ref="AN73">_xlfn.XLOOKUP("?*",U73:AA73&amp;"",U73:AA73,T73,2,-1)</f>
        <v>4.7450000000000001</v>
      </c>
      <c r="AO73" s="477" t="str" cm="1">
        <f t="array" ref="AO73">_xlfn.XLOOKUP("?*",U73:Z73&amp;"",$U$3:$Z$3,S73,2,-1)</f>
        <v>R1</v>
      </c>
      <c r="AP73" s="477" cm="1">
        <f t="array" ref="AP73">_xlfn.XLOOKUP("?*",U73:Z73&amp;"",U73:Z73,T73,2,-1)</f>
        <v>4.7450000000000001</v>
      </c>
      <c r="AQ73" s="477" t="str" cm="1">
        <f t="array" ref="AQ73">_xlfn.XLOOKUP("?*",U73:Y73&amp;"",$U$3:$Y$3,S73,2,-1)</f>
        <v>R1</v>
      </c>
      <c r="AR73" s="477" cm="1">
        <f t="array" ref="AR73">_xlfn.XLOOKUP("?*",U73:Y73&amp;"",U73:Y73,T73,2,-1)</f>
        <v>4.7450000000000001</v>
      </c>
      <c r="AS73" s="477" t="str" cm="1">
        <f t="array" ref="AS73">_xlfn.XLOOKUP("?*",U73:X73&amp;"",$U$3:$X$3,S73,2,-1)</f>
        <v>R1</v>
      </c>
      <c r="AT73" s="477" cm="1">
        <f t="array" ref="AT73">_xlfn.XLOOKUP("?*",U73:X73&amp;"",U73:X73,T73,2,-1)</f>
        <v>4.7450000000000001</v>
      </c>
      <c r="AU73" s="1" t="str">
        <f t="shared" si="40"/>
        <v>R1</v>
      </c>
      <c r="AV73" s="1">
        <f t="shared" si="41"/>
        <v>4.7450000000000001</v>
      </c>
      <c r="AW73" s="1" t="str">
        <f t="shared" si="42"/>
        <v>R1</v>
      </c>
      <c r="AX73" s="1">
        <f t="shared" si="43"/>
        <v>4.7450000000000001</v>
      </c>
    </row>
    <row r="74" spans="1:50" ht="17.100000000000001" customHeight="1">
      <c r="A74" s="10">
        <v>326</v>
      </c>
      <c r="B74" s="53" t="s">
        <v>455</v>
      </c>
      <c r="C74" s="10" t="s">
        <v>96</v>
      </c>
      <c r="D74" s="69" t="s">
        <v>879</v>
      </c>
      <c r="E74" s="69" t="s">
        <v>1360</v>
      </c>
      <c r="F74" s="70" t="s">
        <v>131</v>
      </c>
      <c r="G74" s="26" t="s">
        <v>9</v>
      </c>
      <c r="H74" s="8" t="s">
        <v>31</v>
      </c>
      <c r="I74" s="8" t="s">
        <v>64</v>
      </c>
      <c r="J74" s="8" t="s">
        <v>54</v>
      </c>
      <c r="K74" s="9" t="s">
        <v>270</v>
      </c>
      <c r="L74" s="30" t="s">
        <v>545</v>
      </c>
      <c r="M74" s="31">
        <v>4.2838000000000003</v>
      </c>
      <c r="N74" s="563" t="str" cm="1">
        <f t="array" ref="N74">_xlfn.XLOOKUP("?*",U74:Z74&amp;"",$U$3:$Z$3,S74,2,-1)</f>
        <v>R1</v>
      </c>
      <c r="O74" s="565" cm="1">
        <f t="array" ref="O74">_xlfn.XLOOKUP("?*",U74:Z74&amp;"",U74:Z74,T74,2,-1)</f>
        <v>4.1571999999999996</v>
      </c>
      <c r="P74" s="92"/>
      <c r="Q74" s="87"/>
      <c r="R74" s="1"/>
      <c r="S74" s="76" t="s">
        <v>1299</v>
      </c>
      <c r="T74" s="34">
        <v>4.1623000000000001</v>
      </c>
      <c r="U74" s="39"/>
      <c r="V74" s="40">
        <v>4.1571999999999996</v>
      </c>
      <c r="W74" s="40"/>
      <c r="X74" s="40"/>
      <c r="Y74" s="40"/>
      <c r="Z74" s="40"/>
      <c r="AA74" s="41"/>
      <c r="AB74" s="81"/>
      <c r="AC74" s="21"/>
      <c r="AD74" s="442" t="str">
        <f t="shared" ref="AD74:AD111" si="47">IF(U74="","",-(U74-T74)*1000)</f>
        <v/>
      </c>
      <c r="AE74" s="443">
        <f t="shared" ref="AE74:AE111" si="48">IF(V74="","",IF(U74="",-(V74-T74)*1000,-(V74-U74)*1000))</f>
        <v>5.1000000000005485</v>
      </c>
      <c r="AF74" s="443" t="str">
        <f t="shared" si="44"/>
        <v/>
      </c>
      <c r="AG74" s="478" t="str">
        <f t="shared" si="38"/>
        <v/>
      </c>
      <c r="AH74" s="443" t="str">
        <f t="shared" si="39"/>
        <v/>
      </c>
      <c r="AI74" s="441" t="str">
        <f t="shared" si="45"/>
        <v/>
      </c>
      <c r="AJ74" s="655" t="str">
        <f t="shared" si="46"/>
        <v/>
      </c>
      <c r="AM74" s="477" t="str" cm="1">
        <f t="array" ref="AM74">_xlfn.XLOOKUP("?*",U74:AA74&amp;"",$U$3:$AA$3,S74,2,-1)</f>
        <v>R1</v>
      </c>
      <c r="AN74" s="477" cm="1">
        <f t="array" ref="AN74">_xlfn.XLOOKUP("?*",U74:AA74&amp;"",U74:AA74,T74,2,-1)</f>
        <v>4.1571999999999996</v>
      </c>
      <c r="AO74" s="477" t="str" cm="1">
        <f t="array" ref="AO74">_xlfn.XLOOKUP("?*",U74:Z74&amp;"",$U$3:$Z$3,S74,2,-1)</f>
        <v>R1</v>
      </c>
      <c r="AP74" s="477" cm="1">
        <f t="array" ref="AP74">_xlfn.XLOOKUP("?*",U74:Z74&amp;"",U74:Z74,T74,2,-1)</f>
        <v>4.1571999999999996</v>
      </c>
      <c r="AQ74" s="477" t="str" cm="1">
        <f t="array" ref="AQ74">_xlfn.XLOOKUP("?*",U74:Y74&amp;"",$U$3:$Y$3,S74,2,-1)</f>
        <v>R1</v>
      </c>
      <c r="AR74" s="477" cm="1">
        <f t="array" ref="AR74">_xlfn.XLOOKUP("?*",U74:Y74&amp;"",U74:Y74,T74,2,-1)</f>
        <v>4.1571999999999996</v>
      </c>
      <c r="AS74" s="477" t="str" cm="1">
        <f t="array" ref="AS74">_xlfn.XLOOKUP("?*",U74:X74&amp;"",$U$3:$X$3,S74,2,-1)</f>
        <v>R1</v>
      </c>
      <c r="AT74" s="477" cm="1">
        <f t="array" ref="AT74">_xlfn.XLOOKUP("?*",U74:X74&amp;"",U74:X74,T74,2,-1)</f>
        <v>4.1571999999999996</v>
      </c>
      <c r="AU74" s="1" t="str">
        <f t="shared" si="40"/>
        <v>R1</v>
      </c>
      <c r="AV74" s="1">
        <f t="shared" si="41"/>
        <v>4.1571999999999996</v>
      </c>
      <c r="AW74" s="1" t="str">
        <f t="shared" si="42"/>
        <v>R1</v>
      </c>
      <c r="AX74" s="1">
        <f t="shared" si="43"/>
        <v>4.1571999999999996</v>
      </c>
    </row>
    <row r="75" spans="1:50" ht="17.100000000000001" customHeight="1">
      <c r="A75" s="502">
        <v>327</v>
      </c>
      <c r="B75" s="503" t="s">
        <v>457</v>
      </c>
      <c r="C75" s="502" t="s">
        <v>96</v>
      </c>
      <c r="D75" s="504" t="s">
        <v>1360</v>
      </c>
      <c r="E75" s="504" t="s">
        <v>1360</v>
      </c>
      <c r="F75" s="484" t="s">
        <v>299</v>
      </c>
      <c r="G75" s="485" t="s">
        <v>9</v>
      </c>
      <c r="H75" s="486" t="s">
        <v>31</v>
      </c>
      <c r="I75" s="486" t="s">
        <v>64</v>
      </c>
      <c r="J75" s="486" t="s">
        <v>54</v>
      </c>
      <c r="K75" s="487" t="s">
        <v>270</v>
      </c>
      <c r="L75" s="30"/>
      <c r="M75" s="31"/>
      <c r="N75" s="563" t="str" cm="1">
        <f t="array" ref="N75">_xlfn.XLOOKUP("?*",U75:Z75&amp;"",$U$3:$Z$3,S75,2,-1)</f>
        <v>-</v>
      </c>
      <c r="O75" s="565" t="str" cm="1">
        <f t="array" ref="O75">_xlfn.XLOOKUP("?*",U75:Z75&amp;"",U75:Z75,T75,2,-1)</f>
        <v>-</v>
      </c>
      <c r="P75" s="92"/>
      <c r="Q75" s="505"/>
      <c r="R75" s="14"/>
      <c r="S75" s="76" t="s">
        <v>1354</v>
      </c>
      <c r="T75" s="488" t="s">
        <v>1354</v>
      </c>
      <c r="U75" s="506"/>
      <c r="V75" s="507"/>
      <c r="W75" s="507"/>
      <c r="X75" s="507"/>
      <c r="Y75" s="507"/>
      <c r="Z75" s="507"/>
      <c r="AA75" s="508"/>
      <c r="AB75" s="81"/>
      <c r="AC75" s="509"/>
      <c r="AD75" s="510" t="str">
        <f t="shared" ref="AD75" si="49">IF(U75="","",-(U75-T75)*1000)</f>
        <v/>
      </c>
      <c r="AE75" s="511" t="str">
        <f t="shared" ref="AE75" si="50">IF(V75="","",IF(U75="",-(V75-T75)*1000,-(V75-U75)*1000))</f>
        <v/>
      </c>
      <c r="AF75" s="511" t="str">
        <f t="shared" si="44"/>
        <v/>
      </c>
      <c r="AG75" s="512" t="str">
        <f t="shared" si="38"/>
        <v/>
      </c>
      <c r="AH75" s="443" t="str">
        <f t="shared" si="39"/>
        <v/>
      </c>
      <c r="AI75" s="441" t="str">
        <f t="shared" si="45"/>
        <v/>
      </c>
      <c r="AJ75" s="655" t="str">
        <f t="shared" si="46"/>
        <v/>
      </c>
      <c r="AK75" s="14"/>
      <c r="AL75" s="14"/>
      <c r="AM75" s="477" t="str" cm="1">
        <f t="array" ref="AM75">_xlfn.XLOOKUP("?*",U75:AA75&amp;"",$U$3:$AA$3,S75,2,-1)</f>
        <v>-</v>
      </c>
      <c r="AN75" s="477" t="str" cm="1">
        <f t="array" ref="AN75">_xlfn.XLOOKUP("?*",U75:AA75&amp;"",U75:AA75,T75,2,-1)</f>
        <v>-</v>
      </c>
      <c r="AO75" s="477" t="str" cm="1">
        <f t="array" ref="AO75">_xlfn.XLOOKUP("?*",U75:Z75&amp;"",$U$3:$Z$3,S75,2,-1)</f>
        <v>-</v>
      </c>
      <c r="AP75" s="477" t="str" cm="1">
        <f t="array" ref="AP75">_xlfn.XLOOKUP("?*",U75:Z75&amp;"",U75:Z75,T75,2,-1)</f>
        <v>-</v>
      </c>
      <c r="AQ75" s="477" t="str" cm="1">
        <f t="array" ref="AQ75">_xlfn.XLOOKUP("?*",U75:Y75&amp;"",$U$3:$Y$3,S75,2,-1)</f>
        <v>-</v>
      </c>
      <c r="AR75" s="477" t="str" cm="1">
        <f t="array" ref="AR75">_xlfn.XLOOKUP("?*",U75:Y75&amp;"",U75:Y75,T75,2,-1)</f>
        <v>-</v>
      </c>
      <c r="AS75" s="477" t="str" cm="1">
        <f t="array" ref="AS75">_xlfn.XLOOKUP("?*",U75:X75&amp;"",$U$3:$X$3,S75,2,-1)</f>
        <v>-</v>
      </c>
      <c r="AT75" s="477" t="str" cm="1">
        <f t="array" ref="AT75">_xlfn.XLOOKUP("?*",U75:X75&amp;"",U75:X75,T75,2,-1)</f>
        <v>-</v>
      </c>
      <c r="AU75" s="14" t="str">
        <f t="shared" si="40"/>
        <v>-</v>
      </c>
      <c r="AV75" s="14" t="str">
        <f t="shared" si="41"/>
        <v>-</v>
      </c>
      <c r="AW75" s="14" t="str">
        <f t="shared" si="42"/>
        <v>-</v>
      </c>
      <c r="AX75" s="14" t="str">
        <f t="shared" si="43"/>
        <v>-</v>
      </c>
    </row>
    <row r="76" spans="1:50" ht="17.100000000000001" customHeight="1">
      <c r="A76" s="10">
        <v>328</v>
      </c>
      <c r="B76" s="53" t="s">
        <v>458</v>
      </c>
      <c r="C76" s="10" t="s">
        <v>96</v>
      </c>
      <c r="D76" s="69" t="s">
        <v>1108</v>
      </c>
      <c r="E76" s="69" t="s">
        <v>1359</v>
      </c>
      <c r="F76" s="70" t="s">
        <v>1419</v>
      </c>
      <c r="G76" s="26" t="s">
        <v>9</v>
      </c>
      <c r="H76" s="8" t="s">
        <v>321</v>
      </c>
      <c r="I76" s="8" t="s">
        <v>64</v>
      </c>
      <c r="J76" s="8" t="s">
        <v>539</v>
      </c>
      <c r="K76" s="9" t="s">
        <v>270</v>
      </c>
      <c r="L76" s="30" t="s">
        <v>544</v>
      </c>
      <c r="M76" s="31" t="s">
        <v>544</v>
      </c>
      <c r="N76" s="563" t="str" cm="1">
        <f t="array" ref="N76">_xlfn.XLOOKUP("?*",U76:Z76&amp;"",$U$3:$Z$3,S76,2,-1)</f>
        <v>R5</v>
      </c>
      <c r="O76" s="565" cm="1">
        <f t="array" ref="O76">_xlfn.XLOOKUP("?*",U76:Z76&amp;"",U76:Z76,T76,2,-1)</f>
        <v>7.0330000000000004</v>
      </c>
      <c r="P76" s="93"/>
      <c r="Q76" s="88"/>
      <c r="R76" s="1"/>
      <c r="S76" s="77" t="s">
        <v>1299</v>
      </c>
      <c r="T76" s="35">
        <v>7.0517000000000003</v>
      </c>
      <c r="U76" s="42"/>
      <c r="V76" s="43">
        <v>7.0438000000000001</v>
      </c>
      <c r="W76" s="43"/>
      <c r="X76" s="43"/>
      <c r="Y76" s="43"/>
      <c r="Z76" s="43">
        <v>7.0330000000000004</v>
      </c>
      <c r="AA76" s="44"/>
      <c r="AB76" s="82"/>
      <c r="AC76" s="22"/>
      <c r="AD76" s="444" t="str">
        <f t="shared" si="47"/>
        <v/>
      </c>
      <c r="AE76" s="441">
        <f t="shared" si="48"/>
        <v>7.9000000000002402</v>
      </c>
      <c r="AF76" s="441" t="str">
        <f t="shared" si="44"/>
        <v/>
      </c>
      <c r="AG76" s="478" t="str">
        <f t="shared" si="38"/>
        <v/>
      </c>
      <c r="AH76" s="443" t="str">
        <f t="shared" si="39"/>
        <v/>
      </c>
      <c r="AI76" s="441">
        <f t="shared" si="45"/>
        <v>10.799999999999699</v>
      </c>
      <c r="AJ76" s="655" t="str">
        <f t="shared" si="46"/>
        <v/>
      </c>
      <c r="AM76" s="477" t="str" cm="1">
        <f t="array" ref="AM76">_xlfn.XLOOKUP("?*",U76:AA76&amp;"",$U$3:$AA$3,S76,2,-1)</f>
        <v>R5</v>
      </c>
      <c r="AN76" s="477" cm="1">
        <f t="array" ref="AN76">_xlfn.XLOOKUP("?*",U76:AA76&amp;"",U76:AA76,T76,2,-1)</f>
        <v>7.0330000000000004</v>
      </c>
      <c r="AO76" s="477" t="str" cm="1">
        <f t="array" ref="AO76">_xlfn.XLOOKUP("?*",U76:Z76&amp;"",$U$3:$Z$3,S76,2,-1)</f>
        <v>R5</v>
      </c>
      <c r="AP76" s="477" cm="1">
        <f t="array" ref="AP76">_xlfn.XLOOKUP("?*",U76:Z76&amp;"",U76:Z76,T76,2,-1)</f>
        <v>7.0330000000000004</v>
      </c>
      <c r="AQ76" s="477" t="str" cm="1">
        <f t="array" ref="AQ76">_xlfn.XLOOKUP("?*",U76:Y76&amp;"",$U$3:$Y$3,S76,2,-1)</f>
        <v>R1</v>
      </c>
      <c r="AR76" s="477" cm="1">
        <f t="array" ref="AR76">_xlfn.XLOOKUP("?*",U76:Y76&amp;"",U76:Y76,T76,2,-1)</f>
        <v>7.0438000000000001</v>
      </c>
      <c r="AS76" s="477" t="str" cm="1">
        <f t="array" ref="AS76">_xlfn.XLOOKUP("?*",U76:X76&amp;"",$U$3:$X$3,S76,2,-1)</f>
        <v>R1</v>
      </c>
      <c r="AT76" s="477" cm="1">
        <f t="array" ref="AT76">_xlfn.XLOOKUP("?*",U76:X76&amp;"",U76:X76,T76,2,-1)</f>
        <v>7.0438000000000001</v>
      </c>
      <c r="AU76" s="1" t="str">
        <f t="shared" si="40"/>
        <v>R1</v>
      </c>
      <c r="AV76" s="1">
        <f t="shared" si="41"/>
        <v>7.0438000000000001</v>
      </c>
      <c r="AW76" s="1" t="str">
        <f t="shared" si="42"/>
        <v>R1</v>
      </c>
      <c r="AX76" s="1">
        <f t="shared" si="43"/>
        <v>7.0438000000000001</v>
      </c>
    </row>
    <row r="77" spans="1:50" ht="17.100000000000001" customHeight="1">
      <c r="A77" s="55">
        <v>329</v>
      </c>
      <c r="B77" s="56" t="s">
        <v>460</v>
      </c>
      <c r="C77" s="55" t="s">
        <v>302</v>
      </c>
      <c r="D77" s="68" t="s">
        <v>718</v>
      </c>
      <c r="E77" s="68" t="s">
        <v>1463</v>
      </c>
      <c r="F77" s="11" t="s">
        <v>1420</v>
      </c>
      <c r="G77" s="58" t="s">
        <v>287</v>
      </c>
      <c r="H77" s="60" t="s">
        <v>320</v>
      </c>
      <c r="I77" s="60" t="s">
        <v>541</v>
      </c>
      <c r="J77" s="62" t="s">
        <v>54</v>
      </c>
      <c r="K77" s="63" t="s">
        <v>270</v>
      </c>
      <c r="L77" s="30" t="s">
        <v>544</v>
      </c>
      <c r="M77" s="31" t="s">
        <v>544</v>
      </c>
      <c r="N77" s="563" t="str" cm="1">
        <f t="array" ref="N77">_xlfn.XLOOKUP("?*",U77:Z77&amp;"",$U$3:$Z$3,S77,2,-1)</f>
        <v>R1</v>
      </c>
      <c r="O77" s="565" cm="1">
        <f t="array" ref="O77">_xlfn.XLOOKUP("?*",U77:Z77&amp;"",U77:Z77,T77,2,-1)</f>
        <v>4.8864999999999998</v>
      </c>
      <c r="P77" s="92"/>
      <c r="Q77" s="86"/>
      <c r="R77" s="1"/>
      <c r="S77" s="76" t="s">
        <v>1297</v>
      </c>
      <c r="T77" s="35">
        <v>4.9059999999999997</v>
      </c>
      <c r="U77" s="45"/>
      <c r="V77" s="46">
        <v>4.8864999999999998</v>
      </c>
      <c r="W77" s="46"/>
      <c r="X77" s="46"/>
      <c r="Y77" s="46"/>
      <c r="Z77" s="46"/>
      <c r="AA77" s="47"/>
      <c r="AB77" s="81"/>
      <c r="AC77" s="23"/>
      <c r="AD77" s="440" t="str">
        <f t="shared" si="47"/>
        <v/>
      </c>
      <c r="AE77" s="441">
        <f t="shared" si="48"/>
        <v>19.499999999999851</v>
      </c>
      <c r="AF77" s="441" t="str">
        <f t="shared" si="44"/>
        <v/>
      </c>
      <c r="AG77" s="478" t="str">
        <f t="shared" si="38"/>
        <v/>
      </c>
      <c r="AH77" s="443" t="str">
        <f t="shared" si="39"/>
        <v/>
      </c>
      <c r="AI77" s="441" t="str">
        <f t="shared" si="45"/>
        <v/>
      </c>
      <c r="AJ77" s="655" t="str">
        <f t="shared" si="46"/>
        <v/>
      </c>
      <c r="AM77" s="477" t="str" cm="1">
        <f t="array" ref="AM77">_xlfn.XLOOKUP("?*",U77:AA77&amp;"",$U$3:$AA$3,S77,2,-1)</f>
        <v>R1</v>
      </c>
      <c r="AN77" s="477" cm="1">
        <f t="array" ref="AN77">_xlfn.XLOOKUP("?*",U77:AA77&amp;"",U77:AA77,T77,2,-1)</f>
        <v>4.8864999999999998</v>
      </c>
      <c r="AO77" s="477" t="str" cm="1">
        <f t="array" ref="AO77">_xlfn.XLOOKUP("?*",U77:Z77&amp;"",$U$3:$Z$3,S77,2,-1)</f>
        <v>R1</v>
      </c>
      <c r="AP77" s="477" cm="1">
        <f t="array" ref="AP77">_xlfn.XLOOKUP("?*",U77:Z77&amp;"",U77:Z77,T77,2,-1)</f>
        <v>4.8864999999999998</v>
      </c>
      <c r="AQ77" s="477" t="str" cm="1">
        <f t="array" ref="AQ77">_xlfn.XLOOKUP("?*",U77:Y77&amp;"",$U$3:$Y$3,S77,2,-1)</f>
        <v>R1</v>
      </c>
      <c r="AR77" s="477" cm="1">
        <f t="array" ref="AR77">_xlfn.XLOOKUP("?*",U77:Y77&amp;"",U77:Y77,T77,2,-1)</f>
        <v>4.8864999999999998</v>
      </c>
      <c r="AS77" s="477" t="str" cm="1">
        <f t="array" ref="AS77">_xlfn.XLOOKUP("?*",U77:X77&amp;"",$U$3:$X$3,S77,2,-1)</f>
        <v>R1</v>
      </c>
      <c r="AT77" s="477" cm="1">
        <f t="array" ref="AT77">_xlfn.XLOOKUP("?*",U77:X77&amp;"",U77:X77,T77,2,-1)</f>
        <v>4.8864999999999998</v>
      </c>
      <c r="AU77" s="1" t="str">
        <f t="shared" si="40"/>
        <v>R1</v>
      </c>
      <c r="AV77" s="1">
        <f t="shared" si="41"/>
        <v>4.8864999999999998</v>
      </c>
      <c r="AW77" s="1" t="str">
        <f t="shared" si="42"/>
        <v>R1</v>
      </c>
      <c r="AX77" s="1">
        <f t="shared" si="43"/>
        <v>4.8864999999999998</v>
      </c>
    </row>
    <row r="78" spans="1:50" ht="17.100000000000001" customHeight="1">
      <c r="A78" s="7">
        <v>401</v>
      </c>
      <c r="B78" s="57" t="s">
        <v>462</v>
      </c>
      <c r="C78" s="7" t="s">
        <v>132</v>
      </c>
      <c r="D78" s="71" t="s">
        <v>711</v>
      </c>
      <c r="E78" s="71" t="s">
        <v>711</v>
      </c>
      <c r="F78" s="70" t="s">
        <v>134</v>
      </c>
      <c r="G78" s="59" t="s">
        <v>9</v>
      </c>
      <c r="H78" s="61" t="s">
        <v>10</v>
      </c>
      <c r="I78" s="61" t="s">
        <v>541</v>
      </c>
      <c r="J78" s="61" t="s">
        <v>284</v>
      </c>
      <c r="K78" s="64" t="s">
        <v>263</v>
      </c>
      <c r="L78" s="30" t="s">
        <v>545</v>
      </c>
      <c r="M78" s="31">
        <v>14.696099999999999</v>
      </c>
      <c r="N78" s="563" t="str" cm="1">
        <f t="array" ref="N78">_xlfn.XLOOKUP("?*",U78:Z78&amp;"",$U$3:$Z$3,S78,2,-1)</f>
        <v>R2</v>
      </c>
      <c r="O78" s="565" cm="1">
        <f t="array" ref="O78">_xlfn.XLOOKUP("?*",U78:Z78&amp;"",U78:Z78,T78,2,-1)</f>
        <v>14.5783</v>
      </c>
      <c r="P78" s="92"/>
      <c r="Q78" s="87"/>
      <c r="R78" s="1"/>
      <c r="S78" s="76" t="s">
        <v>1301</v>
      </c>
      <c r="T78" s="34">
        <v>14.583299999999999</v>
      </c>
      <c r="U78" s="39"/>
      <c r="V78" s="40"/>
      <c r="W78" s="40">
        <v>14.5783</v>
      </c>
      <c r="X78" s="40"/>
      <c r="Y78" s="40"/>
      <c r="Z78" s="40"/>
      <c r="AA78" s="41"/>
      <c r="AB78" s="81"/>
      <c r="AC78" s="21"/>
      <c r="AD78" s="442" t="str">
        <f t="shared" si="47"/>
        <v/>
      </c>
      <c r="AE78" s="443" t="str">
        <f t="shared" si="48"/>
        <v/>
      </c>
      <c r="AF78" s="443">
        <f t="shared" si="44"/>
        <v>4.9999999999990052</v>
      </c>
      <c r="AG78" s="478" t="str">
        <f t="shared" si="38"/>
        <v/>
      </c>
      <c r="AH78" s="443" t="str">
        <f t="shared" si="39"/>
        <v/>
      </c>
      <c r="AI78" s="441" t="str">
        <f t="shared" si="45"/>
        <v/>
      </c>
      <c r="AJ78" s="655" t="str">
        <f t="shared" si="46"/>
        <v/>
      </c>
      <c r="AM78" s="477" t="str" cm="1">
        <f t="array" ref="AM78">_xlfn.XLOOKUP("?*",U78:AA78&amp;"",$U$3:$AA$3,S78,2,-1)</f>
        <v>R2</v>
      </c>
      <c r="AN78" s="477" cm="1">
        <f t="array" ref="AN78">_xlfn.XLOOKUP("?*",U78:AA78&amp;"",U78:AA78,T78,2,-1)</f>
        <v>14.5783</v>
      </c>
      <c r="AO78" s="477" t="str" cm="1">
        <f t="array" ref="AO78">_xlfn.XLOOKUP("?*",U78:Z78&amp;"",$U$3:$Z$3,S78,2,-1)</f>
        <v>R2</v>
      </c>
      <c r="AP78" s="477" cm="1">
        <f t="array" ref="AP78">_xlfn.XLOOKUP("?*",U78:Z78&amp;"",U78:Z78,T78,2,-1)</f>
        <v>14.5783</v>
      </c>
      <c r="AQ78" s="477" t="str" cm="1">
        <f t="array" ref="AQ78">_xlfn.XLOOKUP("?*",U78:Y78&amp;"",$U$3:$Y$3,S78,2,-1)</f>
        <v>R2</v>
      </c>
      <c r="AR78" s="477" cm="1">
        <f t="array" ref="AR78">_xlfn.XLOOKUP("?*",U78:Y78&amp;"",U78:Y78,T78,2,-1)</f>
        <v>14.5783</v>
      </c>
      <c r="AS78" s="477" t="str" cm="1">
        <f t="array" ref="AS78">_xlfn.XLOOKUP("?*",U78:X78&amp;"",$U$3:$X$3,S78,2,-1)</f>
        <v>R2</v>
      </c>
      <c r="AT78" s="477" cm="1">
        <f t="array" ref="AT78">_xlfn.XLOOKUP("?*",U78:X78&amp;"",U78:X78,T78,2,-1)</f>
        <v>14.5783</v>
      </c>
      <c r="AU78" s="1" t="str">
        <f t="shared" si="40"/>
        <v>R2</v>
      </c>
      <c r="AV78" s="1">
        <f t="shared" si="41"/>
        <v>14.5783</v>
      </c>
      <c r="AW78" s="1" t="str">
        <f t="shared" si="42"/>
        <v>H27</v>
      </c>
      <c r="AX78" s="1">
        <f t="shared" si="43"/>
        <v>14.583299999999999</v>
      </c>
    </row>
    <row r="79" spans="1:50" ht="17.100000000000001" customHeight="1">
      <c r="A79" s="10">
        <v>402</v>
      </c>
      <c r="B79" s="592">
        <v>8560</v>
      </c>
      <c r="C79" s="10" t="s">
        <v>132</v>
      </c>
      <c r="D79" s="69" t="s">
        <v>573</v>
      </c>
      <c r="E79" s="69" t="s">
        <v>573</v>
      </c>
      <c r="F79" s="70" t="s">
        <v>1421</v>
      </c>
      <c r="G79" s="26" t="s">
        <v>12</v>
      </c>
      <c r="H79" s="8" t="s">
        <v>73</v>
      </c>
      <c r="I79" s="8" t="s">
        <v>541</v>
      </c>
      <c r="J79" s="8" t="s">
        <v>308</v>
      </c>
      <c r="K79" s="9" t="s">
        <v>263</v>
      </c>
      <c r="L79" s="30" t="s">
        <v>543</v>
      </c>
      <c r="M79" s="31">
        <v>20.825199999999999</v>
      </c>
      <c r="N79" s="563" t="str" cm="1">
        <f t="array" ref="N79">_xlfn.XLOOKUP("?*",U79:Z79&amp;"",$U$3:$Z$3,S79,2,-1)</f>
        <v>R2</v>
      </c>
      <c r="O79" s="565" cm="1">
        <f t="array" ref="O79">_xlfn.XLOOKUP("?*",U79:Z79&amp;"",U79:Z79,T79,2,-1)</f>
        <v>20.711200000000002</v>
      </c>
      <c r="P79" s="92"/>
      <c r="Q79" s="87"/>
      <c r="R79" s="1"/>
      <c r="S79" s="76" t="s">
        <v>1301</v>
      </c>
      <c r="T79" s="34">
        <v>20.721599999999999</v>
      </c>
      <c r="U79" s="39"/>
      <c r="V79" s="40"/>
      <c r="W79" s="40">
        <v>20.711200000000002</v>
      </c>
      <c r="X79" s="40"/>
      <c r="Y79" s="40"/>
      <c r="Z79" s="40"/>
      <c r="AA79" s="41"/>
      <c r="AB79" s="81"/>
      <c r="AC79" s="21"/>
      <c r="AD79" s="442" t="str">
        <f t="shared" si="47"/>
        <v/>
      </c>
      <c r="AE79" s="443" t="str">
        <f t="shared" si="48"/>
        <v/>
      </c>
      <c r="AF79" s="443">
        <f t="shared" si="44"/>
        <v>10.399999999997078</v>
      </c>
      <c r="AG79" s="478" t="str">
        <f t="shared" si="38"/>
        <v/>
      </c>
      <c r="AH79" s="443" t="str">
        <f t="shared" si="39"/>
        <v/>
      </c>
      <c r="AI79" s="441" t="str">
        <f t="shared" si="45"/>
        <v/>
      </c>
      <c r="AJ79" s="655" t="str">
        <f t="shared" si="46"/>
        <v/>
      </c>
      <c r="AM79" s="477" t="str" cm="1">
        <f t="array" ref="AM79">_xlfn.XLOOKUP("?*",U79:AA79&amp;"",$U$3:$AA$3,S79,2,-1)</f>
        <v>R2</v>
      </c>
      <c r="AN79" s="477" cm="1">
        <f t="array" ref="AN79">_xlfn.XLOOKUP("?*",U79:AA79&amp;"",U79:AA79,T79,2,-1)</f>
        <v>20.711200000000002</v>
      </c>
      <c r="AO79" s="477" t="str" cm="1">
        <f t="array" ref="AO79">_xlfn.XLOOKUP("?*",U79:Z79&amp;"",$U$3:$Z$3,S79,2,-1)</f>
        <v>R2</v>
      </c>
      <c r="AP79" s="477" cm="1">
        <f t="array" ref="AP79">_xlfn.XLOOKUP("?*",U79:Z79&amp;"",U79:Z79,T79,2,-1)</f>
        <v>20.711200000000002</v>
      </c>
      <c r="AQ79" s="477" t="str" cm="1">
        <f t="array" ref="AQ79">_xlfn.XLOOKUP("?*",U79:Y79&amp;"",$U$3:$Y$3,S79,2,-1)</f>
        <v>R2</v>
      </c>
      <c r="AR79" s="477" cm="1">
        <f t="array" ref="AR79">_xlfn.XLOOKUP("?*",U79:Y79&amp;"",U79:Y79,T79,2,-1)</f>
        <v>20.711200000000002</v>
      </c>
      <c r="AS79" s="477" t="str" cm="1">
        <f t="array" ref="AS79">_xlfn.XLOOKUP("?*",U79:X79&amp;"",$U$3:$X$3,S79,2,-1)</f>
        <v>R2</v>
      </c>
      <c r="AT79" s="477" cm="1">
        <f t="array" ref="AT79">_xlfn.XLOOKUP("?*",U79:X79&amp;"",U79:X79,T79,2,-1)</f>
        <v>20.711200000000002</v>
      </c>
      <c r="AU79" s="1" t="str">
        <f t="shared" si="40"/>
        <v>R2</v>
      </c>
      <c r="AV79" s="1">
        <f t="shared" si="41"/>
        <v>20.711200000000002</v>
      </c>
      <c r="AW79" s="1" t="str">
        <f t="shared" si="42"/>
        <v>H27</v>
      </c>
      <c r="AX79" s="1">
        <f t="shared" si="43"/>
        <v>20.721599999999999</v>
      </c>
    </row>
    <row r="80" spans="1:50" ht="17.100000000000001" customHeight="1">
      <c r="A80" s="10">
        <v>403</v>
      </c>
      <c r="B80" s="53" t="s">
        <v>464</v>
      </c>
      <c r="C80" s="10" t="s">
        <v>132</v>
      </c>
      <c r="D80" s="69" t="s">
        <v>668</v>
      </c>
      <c r="E80" s="69" t="s">
        <v>668</v>
      </c>
      <c r="F80" s="70" t="s">
        <v>138</v>
      </c>
      <c r="G80" s="26" t="s">
        <v>9</v>
      </c>
      <c r="H80" s="8" t="s">
        <v>10</v>
      </c>
      <c r="I80" s="8" t="s">
        <v>541</v>
      </c>
      <c r="J80" s="8" t="s">
        <v>308</v>
      </c>
      <c r="K80" s="9" t="s">
        <v>263</v>
      </c>
      <c r="L80" s="30" t="s">
        <v>545</v>
      </c>
      <c r="M80" s="31">
        <v>23.1707</v>
      </c>
      <c r="N80" s="563" t="str" cm="1">
        <f t="array" ref="N80">_xlfn.XLOOKUP("?*",U80:Z80&amp;"",$U$3:$Z$3,S80,2,-1)</f>
        <v>R2</v>
      </c>
      <c r="O80" s="565" cm="1">
        <f t="array" ref="O80">_xlfn.XLOOKUP("?*",U80:Z80&amp;"",U80:Z80,T80,2,-1)</f>
        <v>23.9452</v>
      </c>
      <c r="P80" s="92"/>
      <c r="Q80" s="87"/>
      <c r="R80" s="1"/>
      <c r="S80" s="76" t="s">
        <v>1302</v>
      </c>
      <c r="T80" s="34">
        <v>23.9483</v>
      </c>
      <c r="U80" s="39">
        <v>23.949000000000002</v>
      </c>
      <c r="V80" s="40"/>
      <c r="W80" s="40">
        <v>23.9452</v>
      </c>
      <c r="X80" s="40"/>
      <c r="Y80" s="40"/>
      <c r="Z80" s="40"/>
      <c r="AA80" s="41"/>
      <c r="AB80" s="81"/>
      <c r="AC80" s="21"/>
      <c r="AD80" s="442">
        <f t="shared" si="47"/>
        <v>-0.70000000000192131</v>
      </c>
      <c r="AE80" s="443" t="str">
        <f t="shared" si="48"/>
        <v/>
      </c>
      <c r="AF80" s="443">
        <f t="shared" si="44"/>
        <v>3.8000000000018019</v>
      </c>
      <c r="AG80" s="478" t="str">
        <f t="shared" si="38"/>
        <v/>
      </c>
      <c r="AH80" s="443" t="str">
        <f t="shared" si="39"/>
        <v/>
      </c>
      <c r="AI80" s="441" t="str">
        <f t="shared" si="45"/>
        <v/>
      </c>
      <c r="AJ80" s="655" t="str">
        <f t="shared" si="46"/>
        <v/>
      </c>
      <c r="AM80" s="477" t="str" cm="1">
        <f t="array" ref="AM80">_xlfn.XLOOKUP("?*",U80:AA80&amp;"",$U$3:$AA$3,S80,2,-1)</f>
        <v>R2</v>
      </c>
      <c r="AN80" s="477" cm="1">
        <f t="array" ref="AN80">_xlfn.XLOOKUP("?*",U80:AA80&amp;"",U80:AA80,T80,2,-1)</f>
        <v>23.9452</v>
      </c>
      <c r="AO80" s="477" t="str" cm="1">
        <f t="array" ref="AO80">_xlfn.XLOOKUP("?*",U80:Z80&amp;"",$U$3:$Z$3,S80,2,-1)</f>
        <v>R2</v>
      </c>
      <c r="AP80" s="477" cm="1">
        <f t="array" ref="AP80">_xlfn.XLOOKUP("?*",U80:Z80&amp;"",U80:Z80,T80,2,-1)</f>
        <v>23.9452</v>
      </c>
      <c r="AQ80" s="477" t="str" cm="1">
        <f t="array" ref="AQ80">_xlfn.XLOOKUP("?*",U80:Y80&amp;"",$U$3:$Y$3,S80,2,-1)</f>
        <v>R2</v>
      </c>
      <c r="AR80" s="477" cm="1">
        <f t="array" ref="AR80">_xlfn.XLOOKUP("?*",U80:Y80&amp;"",U80:Y80,T80,2,-1)</f>
        <v>23.9452</v>
      </c>
      <c r="AS80" s="477" t="str" cm="1">
        <f t="array" ref="AS80">_xlfn.XLOOKUP("?*",U80:X80&amp;"",$U$3:$X$3,S80,2,-1)</f>
        <v>R2</v>
      </c>
      <c r="AT80" s="477" cm="1">
        <f t="array" ref="AT80">_xlfn.XLOOKUP("?*",U80:X80&amp;"",U80:X80,T80,2,-1)</f>
        <v>23.9452</v>
      </c>
      <c r="AU80" s="1" t="str">
        <f t="shared" si="40"/>
        <v>R2</v>
      </c>
      <c r="AV80" s="1">
        <f t="shared" si="41"/>
        <v>23.9452</v>
      </c>
      <c r="AW80" s="1" t="str">
        <f t="shared" si="42"/>
        <v>H30</v>
      </c>
      <c r="AX80" s="1">
        <f t="shared" si="43"/>
        <v>23.949000000000002</v>
      </c>
    </row>
    <row r="81" spans="1:50" ht="17.100000000000001" customHeight="1">
      <c r="A81" s="10">
        <v>404</v>
      </c>
      <c r="B81" s="53" t="s">
        <v>465</v>
      </c>
      <c r="C81" s="10" t="s">
        <v>132</v>
      </c>
      <c r="D81" s="69" t="s">
        <v>1095</v>
      </c>
      <c r="E81" s="69" t="s">
        <v>643</v>
      </c>
      <c r="F81" s="70" t="s">
        <v>140</v>
      </c>
      <c r="G81" s="26" t="s">
        <v>9</v>
      </c>
      <c r="H81" s="8" t="s">
        <v>10</v>
      </c>
      <c r="I81" s="8" t="s">
        <v>541</v>
      </c>
      <c r="J81" s="8" t="s">
        <v>141</v>
      </c>
      <c r="K81" s="9" t="s">
        <v>547</v>
      </c>
      <c r="L81" s="30" t="s">
        <v>543</v>
      </c>
      <c r="M81" s="31">
        <v>23.962299999999999</v>
      </c>
      <c r="N81" s="563" t="str" cm="1">
        <f t="array" ref="N81">_xlfn.XLOOKUP("?*",U81:Z81&amp;"",$U$3:$Z$3,S81,2,-1)</f>
        <v>R2</v>
      </c>
      <c r="O81" s="565" cm="1">
        <f t="array" ref="O81">_xlfn.XLOOKUP("?*",U81:Z81&amp;"",U81:Z81,T81,2,-1)</f>
        <v>23.8627</v>
      </c>
      <c r="P81" s="92"/>
      <c r="Q81" s="87"/>
      <c r="R81" s="1"/>
      <c r="S81" s="76" t="s">
        <v>1301</v>
      </c>
      <c r="T81" s="34">
        <v>23.864599999999999</v>
      </c>
      <c r="U81" s="39">
        <v>23.865300000000001</v>
      </c>
      <c r="V81" s="40"/>
      <c r="W81" s="40">
        <v>23.8627</v>
      </c>
      <c r="X81" s="40"/>
      <c r="Y81" s="40"/>
      <c r="Z81" s="40"/>
      <c r="AA81" s="41"/>
      <c r="AB81" s="81"/>
      <c r="AC81" s="21"/>
      <c r="AD81" s="442">
        <f t="shared" si="47"/>
        <v>-0.70000000000192131</v>
      </c>
      <c r="AE81" s="443" t="str">
        <f t="shared" si="48"/>
        <v/>
      </c>
      <c r="AF81" s="443">
        <f t="shared" si="44"/>
        <v>2.6000000000010459</v>
      </c>
      <c r="AG81" s="478" t="str">
        <f t="shared" si="38"/>
        <v/>
      </c>
      <c r="AH81" s="443" t="str">
        <f t="shared" si="39"/>
        <v/>
      </c>
      <c r="AI81" s="441" t="str">
        <f>IF(Z81="","",($AP81-$AR81)*(-1000))</f>
        <v/>
      </c>
      <c r="AJ81" s="655" t="str">
        <f t="shared" si="46"/>
        <v/>
      </c>
      <c r="AM81" s="477" t="str" cm="1">
        <f t="array" ref="AM81">_xlfn.XLOOKUP("?*",U81:AA81&amp;"",$U$3:$AA$3,S81,2,-1)</f>
        <v>R2</v>
      </c>
      <c r="AN81" s="477" cm="1">
        <f t="array" ref="AN81">_xlfn.XLOOKUP("?*",U81:AA81&amp;"",U81:AA81,T81,2,-1)</f>
        <v>23.8627</v>
      </c>
      <c r="AO81" s="477" t="str" cm="1">
        <f t="array" ref="AO81">_xlfn.XLOOKUP("?*",U81:Z81&amp;"",$U$3:$Z$3,S81,2,-1)</f>
        <v>R2</v>
      </c>
      <c r="AP81" s="477" cm="1">
        <f t="array" ref="AP81">_xlfn.XLOOKUP("?*",U81:Z81&amp;"",U81:Z81,T81,2,-1)</f>
        <v>23.8627</v>
      </c>
      <c r="AQ81" s="477" t="str" cm="1">
        <f t="array" ref="AQ81">_xlfn.XLOOKUP("?*",U81:Y81&amp;"",$U$3:$Y$3,S81,2,-1)</f>
        <v>R2</v>
      </c>
      <c r="AR81" s="477" cm="1">
        <f t="array" ref="AR81">_xlfn.XLOOKUP("?*",U81:Y81&amp;"",U81:Y81,T81,2,-1)</f>
        <v>23.8627</v>
      </c>
      <c r="AS81" s="477" t="str" cm="1">
        <f t="array" ref="AS81">_xlfn.XLOOKUP("?*",U81:X81&amp;"",$U$3:$X$3,S81,2,-1)</f>
        <v>R2</v>
      </c>
      <c r="AT81" s="477" cm="1">
        <f t="array" ref="AT81">_xlfn.XLOOKUP("?*",U81:X81&amp;"",U81:X81,T81,2,-1)</f>
        <v>23.8627</v>
      </c>
      <c r="AU81" s="1" t="str">
        <f t="shared" si="40"/>
        <v>R2</v>
      </c>
      <c r="AV81" s="1">
        <f t="shared" si="41"/>
        <v>23.8627</v>
      </c>
      <c r="AW81" s="1" t="str">
        <f t="shared" si="42"/>
        <v>H30</v>
      </c>
      <c r="AX81" s="1">
        <f t="shared" si="43"/>
        <v>23.865300000000001</v>
      </c>
    </row>
    <row r="82" spans="1:50" ht="17.100000000000001" customHeight="1">
      <c r="A82" s="10">
        <v>405</v>
      </c>
      <c r="B82" s="592">
        <v>8559</v>
      </c>
      <c r="C82" s="10" t="s">
        <v>132</v>
      </c>
      <c r="D82" s="69" t="s">
        <v>1097</v>
      </c>
      <c r="E82" s="69" t="s">
        <v>669</v>
      </c>
      <c r="F82" s="70" t="s">
        <v>1422</v>
      </c>
      <c r="G82" s="26" t="s">
        <v>12</v>
      </c>
      <c r="H82" s="8" t="s">
        <v>10</v>
      </c>
      <c r="I82" s="8" t="s">
        <v>541</v>
      </c>
      <c r="J82" s="8" t="s">
        <v>141</v>
      </c>
      <c r="K82" s="9" t="s">
        <v>547</v>
      </c>
      <c r="L82" s="30" t="s">
        <v>543</v>
      </c>
      <c r="M82" s="31">
        <v>23.9758</v>
      </c>
      <c r="N82" s="563" t="str" cm="1">
        <f t="array" ref="N82">_xlfn.XLOOKUP("?*",U82:Z82&amp;"",$U$3:$Z$3,S82,2,-1)</f>
        <v>R2</v>
      </c>
      <c r="O82" s="565" cm="1">
        <f t="array" ref="O82">_xlfn.XLOOKUP("?*",U82:Z82&amp;"",U82:Z82,T82,2,-1)</f>
        <v>23.873999999999999</v>
      </c>
      <c r="P82" s="92"/>
      <c r="Q82" s="87"/>
      <c r="R82" s="1"/>
      <c r="S82" s="76" t="s">
        <v>1301</v>
      </c>
      <c r="T82" s="34">
        <v>23.876799999999999</v>
      </c>
      <c r="U82" s="39">
        <v>23.876899999999999</v>
      </c>
      <c r="V82" s="40"/>
      <c r="W82" s="40">
        <v>23.873999999999999</v>
      </c>
      <c r="X82" s="40"/>
      <c r="Y82" s="40"/>
      <c r="Z82" s="40"/>
      <c r="AA82" s="41"/>
      <c r="AB82" s="81"/>
      <c r="AC82" s="21"/>
      <c r="AD82" s="442">
        <f t="shared" si="47"/>
        <v>-9.9999999999766942E-2</v>
      </c>
      <c r="AE82" s="443" t="str">
        <f t="shared" si="48"/>
        <v/>
      </c>
      <c r="AF82" s="443">
        <f t="shared" si="44"/>
        <v>2.9000000000003467</v>
      </c>
      <c r="AG82" s="478" t="str">
        <f t="shared" si="38"/>
        <v/>
      </c>
      <c r="AH82" s="443" t="str">
        <f t="shared" si="39"/>
        <v/>
      </c>
      <c r="AI82" s="441" t="str">
        <f t="shared" ref="AI82:AI100" si="51">IF(Z82="","",($AP82-$AR82)*(-1000))</f>
        <v/>
      </c>
      <c r="AJ82" s="655" t="str">
        <f t="shared" si="46"/>
        <v/>
      </c>
      <c r="AM82" s="477" t="str" cm="1">
        <f t="array" ref="AM82">_xlfn.XLOOKUP("?*",U82:AA82&amp;"",$U$3:$AA$3,S82,2,-1)</f>
        <v>R2</v>
      </c>
      <c r="AN82" s="477" cm="1">
        <f t="array" ref="AN82">_xlfn.XLOOKUP("?*",U82:AA82&amp;"",U82:AA82,T82,2,-1)</f>
        <v>23.873999999999999</v>
      </c>
      <c r="AO82" s="477" t="str" cm="1">
        <f t="array" ref="AO82">_xlfn.XLOOKUP("?*",U82:Z82&amp;"",$U$3:$Z$3,S82,2,-1)</f>
        <v>R2</v>
      </c>
      <c r="AP82" s="477" cm="1">
        <f t="array" ref="AP82">_xlfn.XLOOKUP("?*",U82:Z82&amp;"",U82:Z82,T82,2,-1)</f>
        <v>23.873999999999999</v>
      </c>
      <c r="AQ82" s="477" t="str" cm="1">
        <f t="array" ref="AQ82">_xlfn.XLOOKUP("?*",U82:Y82&amp;"",$U$3:$Y$3,S82,2,-1)</f>
        <v>R2</v>
      </c>
      <c r="AR82" s="477" cm="1">
        <f t="array" ref="AR82">_xlfn.XLOOKUP("?*",U82:Y82&amp;"",U82:Y82,T82,2,-1)</f>
        <v>23.873999999999999</v>
      </c>
      <c r="AS82" s="477" t="str" cm="1">
        <f t="array" ref="AS82">_xlfn.XLOOKUP("?*",U82:X82&amp;"",$U$3:$X$3,S82,2,-1)</f>
        <v>R2</v>
      </c>
      <c r="AT82" s="477" cm="1">
        <f t="array" ref="AT82">_xlfn.XLOOKUP("?*",U82:X82&amp;"",U82:X82,T82,2,-1)</f>
        <v>23.873999999999999</v>
      </c>
      <c r="AU82" s="1" t="str">
        <f t="shared" si="40"/>
        <v>R2</v>
      </c>
      <c r="AV82" s="1">
        <f t="shared" si="41"/>
        <v>23.873999999999999</v>
      </c>
      <c r="AW82" s="1" t="str">
        <f t="shared" si="42"/>
        <v>H30</v>
      </c>
      <c r="AX82" s="1">
        <f t="shared" si="43"/>
        <v>23.876899999999999</v>
      </c>
    </row>
    <row r="83" spans="1:50" ht="17.100000000000001" customHeight="1">
      <c r="A83" s="10">
        <v>406</v>
      </c>
      <c r="B83" s="592">
        <v>8558</v>
      </c>
      <c r="C83" s="10" t="s">
        <v>132</v>
      </c>
      <c r="D83" s="69" t="s">
        <v>1091</v>
      </c>
      <c r="E83" s="69" t="s">
        <v>644</v>
      </c>
      <c r="F83" s="70" t="s">
        <v>1423</v>
      </c>
      <c r="G83" s="26" t="s">
        <v>12</v>
      </c>
      <c r="H83" s="8" t="s">
        <v>10</v>
      </c>
      <c r="I83" s="8" t="s">
        <v>541</v>
      </c>
      <c r="J83" s="8" t="s">
        <v>141</v>
      </c>
      <c r="K83" s="9" t="s">
        <v>547</v>
      </c>
      <c r="L83" s="30" t="s">
        <v>545</v>
      </c>
      <c r="M83" s="31">
        <v>22.1907</v>
      </c>
      <c r="N83" s="563" t="str" cm="1">
        <f t="array" ref="N83">_xlfn.XLOOKUP("?*",U83:Z83&amp;"",$U$3:$Z$3,S83,2,-1)</f>
        <v>R2</v>
      </c>
      <c r="O83" s="565" cm="1">
        <f t="array" ref="O83">_xlfn.XLOOKUP("?*",U83:Z83&amp;"",U83:Z83,T83,2,-1)</f>
        <v>22.080200000000001</v>
      </c>
      <c r="P83" s="92"/>
      <c r="Q83" s="87"/>
      <c r="R83" s="1"/>
      <c r="S83" s="76" t="s">
        <v>1301</v>
      </c>
      <c r="T83" s="34">
        <v>22.0824</v>
      </c>
      <c r="U83" s="39">
        <v>22.081399999999999</v>
      </c>
      <c r="V83" s="40"/>
      <c r="W83" s="40">
        <v>22.080200000000001</v>
      </c>
      <c r="X83" s="40"/>
      <c r="Y83" s="40"/>
      <c r="Z83" s="40"/>
      <c r="AA83" s="41"/>
      <c r="AB83" s="81"/>
      <c r="AC83" s="21"/>
      <c r="AD83" s="442">
        <f t="shared" si="47"/>
        <v>1.0000000000012221</v>
      </c>
      <c r="AE83" s="443" t="str">
        <f t="shared" si="48"/>
        <v/>
      </c>
      <c r="AF83" s="443">
        <f t="shared" si="44"/>
        <v>1.1999999999972033</v>
      </c>
      <c r="AG83" s="478" t="str">
        <f t="shared" si="38"/>
        <v/>
      </c>
      <c r="AH83" s="443" t="str">
        <f t="shared" si="39"/>
        <v/>
      </c>
      <c r="AI83" s="441" t="str">
        <f t="shared" si="51"/>
        <v/>
      </c>
      <c r="AJ83" s="655" t="str">
        <f t="shared" si="46"/>
        <v/>
      </c>
      <c r="AM83" s="477" t="str" cm="1">
        <f t="array" ref="AM83">_xlfn.XLOOKUP("?*",U83:AA83&amp;"",$U$3:$AA$3,S83,2,-1)</f>
        <v>R2</v>
      </c>
      <c r="AN83" s="477" cm="1">
        <f t="array" ref="AN83">_xlfn.XLOOKUP("?*",U83:AA83&amp;"",U83:AA83,T83,2,-1)</f>
        <v>22.080200000000001</v>
      </c>
      <c r="AO83" s="477" t="str" cm="1">
        <f t="array" ref="AO83">_xlfn.XLOOKUP("?*",U83:Z83&amp;"",$U$3:$Z$3,S83,2,-1)</f>
        <v>R2</v>
      </c>
      <c r="AP83" s="477" cm="1">
        <f t="array" ref="AP83">_xlfn.XLOOKUP("?*",U83:Z83&amp;"",U83:Z83,T83,2,-1)</f>
        <v>22.080200000000001</v>
      </c>
      <c r="AQ83" s="477" t="str" cm="1">
        <f t="array" ref="AQ83">_xlfn.XLOOKUP("?*",U83:Y83&amp;"",$U$3:$Y$3,S83,2,-1)</f>
        <v>R2</v>
      </c>
      <c r="AR83" s="477" cm="1">
        <f t="array" ref="AR83">_xlfn.XLOOKUP("?*",U83:Y83&amp;"",U83:Y83,T83,2,-1)</f>
        <v>22.080200000000001</v>
      </c>
      <c r="AS83" s="477" t="str" cm="1">
        <f t="array" ref="AS83">_xlfn.XLOOKUP("?*",U83:X83&amp;"",$U$3:$X$3,S83,2,-1)</f>
        <v>R2</v>
      </c>
      <c r="AT83" s="477" cm="1">
        <f t="array" ref="AT83">_xlfn.XLOOKUP("?*",U83:X83&amp;"",U83:X83,T83,2,-1)</f>
        <v>22.080200000000001</v>
      </c>
      <c r="AU83" s="1" t="str">
        <f t="shared" si="40"/>
        <v>R2</v>
      </c>
      <c r="AV83" s="1">
        <f t="shared" si="41"/>
        <v>22.080200000000001</v>
      </c>
      <c r="AW83" s="1" t="str">
        <f t="shared" si="42"/>
        <v>H30</v>
      </c>
      <c r="AX83" s="1">
        <f t="shared" si="43"/>
        <v>22.081399999999999</v>
      </c>
    </row>
    <row r="84" spans="1:50" ht="17.100000000000001" customHeight="1">
      <c r="A84" s="10">
        <v>407</v>
      </c>
      <c r="B84" s="53" t="s">
        <v>468</v>
      </c>
      <c r="C84" s="10" t="s">
        <v>132</v>
      </c>
      <c r="D84" s="69" t="s">
        <v>1106</v>
      </c>
      <c r="E84" s="69" t="s">
        <v>716</v>
      </c>
      <c r="F84" s="70" t="s">
        <v>146</v>
      </c>
      <c r="G84" s="26" t="s">
        <v>9</v>
      </c>
      <c r="H84" s="8" t="s">
        <v>10</v>
      </c>
      <c r="I84" s="8" t="s">
        <v>541</v>
      </c>
      <c r="J84" s="8" t="s">
        <v>141</v>
      </c>
      <c r="K84" s="9" t="s">
        <v>547</v>
      </c>
      <c r="L84" s="30" t="s">
        <v>543</v>
      </c>
      <c r="M84" s="31">
        <v>18.932300000000001</v>
      </c>
      <c r="N84" s="563" t="str" cm="1">
        <f t="array" ref="N84">_xlfn.XLOOKUP("?*",U84:Z84&amp;"",$U$3:$Z$3,S84,2,-1)</f>
        <v>R2</v>
      </c>
      <c r="O84" s="565" cm="1">
        <f t="array" ref="O84">_xlfn.XLOOKUP("?*",U84:Z84&amp;"",U84:Z84,T84,2,-1)</f>
        <v>18.832699999999999</v>
      </c>
      <c r="P84" s="92"/>
      <c r="Q84" s="87"/>
      <c r="R84" s="1"/>
      <c r="S84" s="76" t="s">
        <v>1302</v>
      </c>
      <c r="T84" s="34">
        <v>18.834499999999998</v>
      </c>
      <c r="U84" s="39">
        <v>18.8339</v>
      </c>
      <c r="V84" s="40"/>
      <c r="W84" s="40">
        <v>18.832699999999999</v>
      </c>
      <c r="X84" s="40"/>
      <c r="Y84" s="40"/>
      <c r="Z84" s="40"/>
      <c r="AA84" s="41"/>
      <c r="AB84" s="81"/>
      <c r="AC84" s="21"/>
      <c r="AD84" s="442">
        <f t="shared" si="47"/>
        <v>0.59999999999860165</v>
      </c>
      <c r="AE84" s="443" t="str">
        <f t="shared" si="48"/>
        <v/>
      </c>
      <c r="AF84" s="443">
        <f t="shared" si="44"/>
        <v>1.200000000000756</v>
      </c>
      <c r="AG84" s="478" t="str">
        <f t="shared" si="38"/>
        <v/>
      </c>
      <c r="AH84" s="443" t="str">
        <f t="shared" si="39"/>
        <v/>
      </c>
      <c r="AI84" s="441" t="str">
        <f t="shared" si="51"/>
        <v/>
      </c>
      <c r="AJ84" s="655" t="str">
        <f t="shared" si="46"/>
        <v/>
      </c>
      <c r="AM84" s="477" t="str" cm="1">
        <f t="array" ref="AM84">_xlfn.XLOOKUP("?*",U84:AA84&amp;"",$U$3:$AA$3,S84,2,-1)</f>
        <v>R2</v>
      </c>
      <c r="AN84" s="477" cm="1">
        <f t="array" ref="AN84">_xlfn.XLOOKUP("?*",U84:AA84&amp;"",U84:AA84,T84,2,-1)</f>
        <v>18.832699999999999</v>
      </c>
      <c r="AO84" s="477" t="str" cm="1">
        <f t="array" ref="AO84">_xlfn.XLOOKUP("?*",U84:Z84&amp;"",$U$3:$Z$3,S84,2,-1)</f>
        <v>R2</v>
      </c>
      <c r="AP84" s="477" cm="1">
        <f t="array" ref="AP84">_xlfn.XLOOKUP("?*",U84:Z84&amp;"",U84:Z84,T84,2,-1)</f>
        <v>18.832699999999999</v>
      </c>
      <c r="AQ84" s="477" t="str" cm="1">
        <f t="array" ref="AQ84">_xlfn.XLOOKUP("?*",U84:Y84&amp;"",$U$3:$Y$3,S84,2,-1)</f>
        <v>R2</v>
      </c>
      <c r="AR84" s="477" cm="1">
        <f t="array" ref="AR84">_xlfn.XLOOKUP("?*",U84:Y84&amp;"",U84:Y84,T84,2,-1)</f>
        <v>18.832699999999999</v>
      </c>
      <c r="AS84" s="477" t="str" cm="1">
        <f t="array" ref="AS84">_xlfn.XLOOKUP("?*",U84:X84&amp;"",$U$3:$X$3,S84,2,-1)</f>
        <v>R2</v>
      </c>
      <c r="AT84" s="477" cm="1">
        <f t="array" ref="AT84">_xlfn.XLOOKUP("?*",U84:X84&amp;"",U84:X84,T84,2,-1)</f>
        <v>18.832699999999999</v>
      </c>
      <c r="AU84" s="1" t="str">
        <f t="shared" si="40"/>
        <v>R2</v>
      </c>
      <c r="AV84" s="1">
        <f t="shared" si="41"/>
        <v>18.832699999999999</v>
      </c>
      <c r="AW84" s="1" t="str">
        <f t="shared" si="42"/>
        <v>H30</v>
      </c>
      <c r="AX84" s="1">
        <f t="shared" si="43"/>
        <v>18.8339</v>
      </c>
    </row>
    <row r="85" spans="1:50" ht="16.5" customHeight="1">
      <c r="A85" s="10">
        <v>408</v>
      </c>
      <c r="B85" s="53" t="s">
        <v>469</v>
      </c>
      <c r="C85" s="10" t="s">
        <v>132</v>
      </c>
      <c r="D85" s="69" t="s">
        <v>1099</v>
      </c>
      <c r="E85" s="69" t="s">
        <v>645</v>
      </c>
      <c r="F85" s="70" t="s">
        <v>147</v>
      </c>
      <c r="G85" s="26" t="s">
        <v>9</v>
      </c>
      <c r="H85" s="8" t="s">
        <v>10</v>
      </c>
      <c r="I85" s="8" t="s">
        <v>541</v>
      </c>
      <c r="J85" s="8" t="s">
        <v>141</v>
      </c>
      <c r="K85" s="9" t="s">
        <v>547</v>
      </c>
      <c r="L85" s="30" t="s">
        <v>545</v>
      </c>
      <c r="M85" s="31">
        <v>18.411899999999999</v>
      </c>
      <c r="N85" s="563" t="str" cm="1">
        <f t="array" ref="N85">_xlfn.XLOOKUP("?*",U85:Z85&amp;"",$U$3:$Z$3,S85,2,-1)</f>
        <v>R2</v>
      </c>
      <c r="O85" s="565" cm="1">
        <f t="array" ref="O85">_xlfn.XLOOKUP("?*",U85:Z85&amp;"",U85:Z85,T85,2,-1)</f>
        <v>18.146799999999999</v>
      </c>
      <c r="P85" s="92"/>
      <c r="Q85" s="87"/>
      <c r="R85" s="1"/>
      <c r="S85" s="76" t="s">
        <v>1315</v>
      </c>
      <c r="T85" s="34">
        <v>18.305299999999999</v>
      </c>
      <c r="U85" s="39">
        <v>18.3048</v>
      </c>
      <c r="V85" s="40"/>
      <c r="W85" s="40">
        <v>18.146799999999999</v>
      </c>
      <c r="X85" s="40"/>
      <c r="Y85" s="40"/>
      <c r="Z85" s="40"/>
      <c r="AA85" s="41"/>
      <c r="AB85" s="81"/>
      <c r="AC85" s="21"/>
      <c r="AD85" s="442">
        <f t="shared" si="47"/>
        <v>0.49999999999883471</v>
      </c>
      <c r="AE85" s="443" t="str">
        <f t="shared" si="48"/>
        <v/>
      </c>
      <c r="AF85" s="443">
        <f t="shared" si="44"/>
        <v>158.00000000000125</v>
      </c>
      <c r="AG85" s="478" t="str">
        <f t="shared" si="38"/>
        <v/>
      </c>
      <c r="AH85" s="443" t="str">
        <f t="shared" si="39"/>
        <v/>
      </c>
      <c r="AI85" s="441" t="str">
        <f t="shared" si="51"/>
        <v/>
      </c>
      <c r="AJ85" s="655" t="str">
        <f t="shared" si="46"/>
        <v/>
      </c>
      <c r="AM85" s="477" t="str" cm="1">
        <f t="array" ref="AM85">_xlfn.XLOOKUP("?*",U85:AA85&amp;"",$U$3:$AA$3,S85,2,-1)</f>
        <v>R2</v>
      </c>
      <c r="AN85" s="477" cm="1">
        <f t="array" ref="AN85">_xlfn.XLOOKUP("?*",U85:AA85&amp;"",U85:AA85,T85,2,-1)</f>
        <v>18.146799999999999</v>
      </c>
      <c r="AO85" s="477" t="str" cm="1">
        <f t="array" ref="AO85">_xlfn.XLOOKUP("?*",U85:Z85&amp;"",$U$3:$Z$3,S85,2,-1)</f>
        <v>R2</v>
      </c>
      <c r="AP85" s="477" cm="1">
        <f t="array" ref="AP85">_xlfn.XLOOKUP("?*",U85:Z85&amp;"",U85:Z85,T85,2,-1)</f>
        <v>18.146799999999999</v>
      </c>
      <c r="AQ85" s="477" t="str" cm="1">
        <f t="array" ref="AQ85">_xlfn.XLOOKUP("?*",U85:Y85&amp;"",$U$3:$Y$3,S85,2,-1)</f>
        <v>R2</v>
      </c>
      <c r="AR85" s="477" cm="1">
        <f t="array" ref="AR85">_xlfn.XLOOKUP("?*",U85:Y85&amp;"",U85:Y85,T85,2,-1)</f>
        <v>18.146799999999999</v>
      </c>
      <c r="AS85" s="477" t="str" cm="1">
        <f t="array" ref="AS85">_xlfn.XLOOKUP("?*",U85:X85&amp;"",$U$3:$X$3,S85,2,-1)</f>
        <v>R2</v>
      </c>
      <c r="AT85" s="477" cm="1">
        <f t="array" ref="AT85">_xlfn.XLOOKUP("?*",U85:X85&amp;"",U85:X85,T85,2,-1)</f>
        <v>18.146799999999999</v>
      </c>
      <c r="AU85" s="1" t="str">
        <f t="shared" si="40"/>
        <v>R2</v>
      </c>
      <c r="AV85" s="1">
        <f t="shared" si="41"/>
        <v>18.146799999999999</v>
      </c>
      <c r="AW85" s="1" t="str">
        <f t="shared" si="42"/>
        <v>H30</v>
      </c>
      <c r="AX85" s="1">
        <f t="shared" si="43"/>
        <v>18.3048</v>
      </c>
    </row>
    <row r="86" spans="1:50" ht="16.5" customHeight="1">
      <c r="A86" s="502">
        <v>410</v>
      </c>
      <c r="B86" s="503" t="s">
        <v>1361</v>
      </c>
      <c r="C86" s="502" t="s">
        <v>132</v>
      </c>
      <c r="D86" s="504" t="s">
        <v>1362</v>
      </c>
      <c r="E86" s="504" t="s">
        <v>1362</v>
      </c>
      <c r="F86" s="484" t="s">
        <v>299</v>
      </c>
      <c r="G86" s="485" t="s">
        <v>9</v>
      </c>
      <c r="H86" s="486" t="s">
        <v>31</v>
      </c>
      <c r="I86" s="486" t="s">
        <v>64</v>
      </c>
      <c r="J86" s="486" t="s">
        <v>54</v>
      </c>
      <c r="K86" s="487" t="s">
        <v>270</v>
      </c>
      <c r="L86" s="30"/>
      <c r="M86" s="31"/>
      <c r="N86" s="563" t="str" cm="1">
        <f t="array" ref="N86">_xlfn.XLOOKUP("?*",U86:Z86&amp;"",$U$3:$Z$3,S86,2,-1)</f>
        <v>-</v>
      </c>
      <c r="O86" s="565" t="str" cm="1">
        <f t="array" ref="O86">_xlfn.XLOOKUP("?*",U86:Z86&amp;"",U86:Z86,T86,2,-1)</f>
        <v>-</v>
      </c>
      <c r="P86" s="92"/>
      <c r="Q86" s="505"/>
      <c r="R86" s="14"/>
      <c r="S86" s="76" t="s">
        <v>1354</v>
      </c>
      <c r="T86" s="488" t="s">
        <v>1354</v>
      </c>
      <c r="U86" s="506"/>
      <c r="V86" s="507"/>
      <c r="W86" s="507"/>
      <c r="X86" s="507"/>
      <c r="Y86" s="507"/>
      <c r="Z86" s="507"/>
      <c r="AA86" s="508"/>
      <c r="AB86" s="81"/>
      <c r="AC86" s="509"/>
      <c r="AD86" s="510" t="str">
        <f t="shared" ref="AD86" si="52">IF(U86="","",-(U86-T86)*1000)</f>
        <v/>
      </c>
      <c r="AE86" s="511" t="str">
        <f t="shared" ref="AE86" si="53">IF(V86="","",IF(U86="",-(V86-T86)*1000,-(V86-U86)*1000))</f>
        <v/>
      </c>
      <c r="AF86" s="511" t="str">
        <f t="shared" si="44"/>
        <v/>
      </c>
      <c r="AG86" s="512" t="str">
        <f t="shared" si="38"/>
        <v/>
      </c>
      <c r="AH86" s="443" t="str">
        <f t="shared" si="39"/>
        <v/>
      </c>
      <c r="AI86" s="441" t="str">
        <f t="shared" si="51"/>
        <v/>
      </c>
      <c r="AJ86" s="655" t="str">
        <f t="shared" si="46"/>
        <v/>
      </c>
      <c r="AK86" s="14"/>
      <c r="AL86" s="14"/>
      <c r="AM86" s="477" t="str" cm="1">
        <f t="array" ref="AM86">_xlfn.XLOOKUP("?*",U86:AA86&amp;"",$U$3:$AA$3,S86,2,-1)</f>
        <v>-</v>
      </c>
      <c r="AN86" s="477" t="str" cm="1">
        <f t="array" ref="AN86">_xlfn.XLOOKUP("?*",U86:AA86&amp;"",U86:AA86,T86,2,-1)</f>
        <v>-</v>
      </c>
      <c r="AO86" s="477" t="str" cm="1">
        <f t="array" ref="AO86">_xlfn.XLOOKUP("?*",U86:Z86&amp;"",$U$3:$Z$3,S86,2,-1)</f>
        <v>-</v>
      </c>
      <c r="AP86" s="477" t="str" cm="1">
        <f t="array" ref="AP86">_xlfn.XLOOKUP("?*",U86:Z86&amp;"",U86:Z86,T86,2,-1)</f>
        <v>-</v>
      </c>
      <c r="AQ86" s="477" t="str" cm="1">
        <f t="array" ref="AQ86">_xlfn.XLOOKUP("?*",U86:Y86&amp;"",$U$3:$Y$3,S86,2,-1)</f>
        <v>-</v>
      </c>
      <c r="AR86" s="477" t="str" cm="1">
        <f t="array" ref="AR86">_xlfn.XLOOKUP("?*",U86:Y86&amp;"",U86:Y86,T86,2,-1)</f>
        <v>-</v>
      </c>
      <c r="AS86" s="477" t="str" cm="1">
        <f t="array" ref="AS86">_xlfn.XLOOKUP("?*",U86:X86&amp;"",$U$3:$X$3,S86,2,-1)</f>
        <v>-</v>
      </c>
      <c r="AT86" s="477" t="str" cm="1">
        <f t="array" ref="AT86">_xlfn.XLOOKUP("?*",U86:X86&amp;"",U86:X86,T86,2,-1)</f>
        <v>-</v>
      </c>
      <c r="AU86" s="14" t="str">
        <f t="shared" si="40"/>
        <v>-</v>
      </c>
      <c r="AV86" s="14" t="str">
        <f t="shared" si="41"/>
        <v>-</v>
      </c>
      <c r="AW86" s="14" t="str">
        <f t="shared" si="42"/>
        <v>-</v>
      </c>
      <c r="AX86" s="14" t="str">
        <f t="shared" si="43"/>
        <v>-</v>
      </c>
    </row>
    <row r="87" spans="1:50" ht="17.100000000000001" customHeight="1">
      <c r="A87" s="10">
        <v>411</v>
      </c>
      <c r="B87" s="53" t="s">
        <v>471</v>
      </c>
      <c r="C87" s="10" t="s">
        <v>132</v>
      </c>
      <c r="D87" s="69" t="s">
        <v>898</v>
      </c>
      <c r="E87" s="69" t="s">
        <v>1362</v>
      </c>
      <c r="F87" s="70" t="s">
        <v>1424</v>
      </c>
      <c r="G87" s="26" t="s">
        <v>9</v>
      </c>
      <c r="H87" s="8" t="s">
        <v>10</v>
      </c>
      <c r="I87" s="8" t="s">
        <v>64</v>
      </c>
      <c r="J87" s="8" t="s">
        <v>54</v>
      </c>
      <c r="K87" s="9" t="s">
        <v>270</v>
      </c>
      <c r="L87" s="30" t="s">
        <v>543</v>
      </c>
      <c r="M87" s="31">
        <v>3.5670999999999999</v>
      </c>
      <c r="N87" s="563" t="str" cm="1">
        <f t="array" ref="N87">_xlfn.XLOOKUP("?*",U87:Z87&amp;"",$U$3:$Z$3,S87,2,-1)</f>
        <v>R4</v>
      </c>
      <c r="O87" s="565" cm="1">
        <f t="array" ref="O87">_xlfn.XLOOKUP("?*",U87:Z87&amp;"",U87:Z87,T87,2,-1)</f>
        <v>3.2930999999999999</v>
      </c>
      <c r="P87" s="92"/>
      <c r="Q87" s="87"/>
      <c r="R87" s="1"/>
      <c r="S87" s="76" t="s">
        <v>1314</v>
      </c>
      <c r="T87" s="34">
        <v>3.3433000000000002</v>
      </c>
      <c r="U87" s="39">
        <v>3.3254000000000001</v>
      </c>
      <c r="V87" s="40"/>
      <c r="W87" s="40"/>
      <c r="X87" s="40"/>
      <c r="Y87" s="40">
        <v>3.2930999999999999</v>
      </c>
      <c r="Z87" s="40"/>
      <c r="AA87" s="41"/>
      <c r="AB87" s="81"/>
      <c r="AC87" s="21"/>
      <c r="AD87" s="442">
        <f t="shared" si="47"/>
        <v>17.900000000000027</v>
      </c>
      <c r="AE87" s="443" t="str">
        <f t="shared" si="48"/>
        <v/>
      </c>
      <c r="AF87" s="443" t="str">
        <f t="shared" si="44"/>
        <v/>
      </c>
      <c r="AG87" s="478" t="str">
        <f t="shared" si="38"/>
        <v/>
      </c>
      <c r="AH87" s="443">
        <f t="shared" si="39"/>
        <v>32.300000000000217</v>
      </c>
      <c r="AI87" s="441" t="str">
        <f t="shared" si="51"/>
        <v/>
      </c>
      <c r="AJ87" s="655" t="str">
        <f t="shared" si="46"/>
        <v/>
      </c>
      <c r="AM87" s="477" t="str" cm="1">
        <f t="array" ref="AM87">_xlfn.XLOOKUP("?*",U87:AA87&amp;"",$U$3:$AA$3,S87,2,-1)</f>
        <v>R4</v>
      </c>
      <c r="AN87" s="477" cm="1">
        <f t="array" ref="AN87">_xlfn.XLOOKUP("?*",U87:AA87&amp;"",U87:AA87,T87,2,-1)</f>
        <v>3.2930999999999999</v>
      </c>
      <c r="AO87" s="477" t="str" cm="1">
        <f t="array" ref="AO87">_xlfn.XLOOKUP("?*",U87:Z87&amp;"",$U$3:$Z$3,S87,2,-1)</f>
        <v>R4</v>
      </c>
      <c r="AP87" s="477" cm="1">
        <f t="array" ref="AP87">_xlfn.XLOOKUP("?*",U87:Z87&amp;"",U87:Z87,T87,2,-1)</f>
        <v>3.2930999999999999</v>
      </c>
      <c r="AQ87" s="477" t="str" cm="1">
        <f t="array" ref="AQ87">_xlfn.XLOOKUP("?*",U87:Y87&amp;"",$U$3:$Y$3,S87,2,-1)</f>
        <v>R4</v>
      </c>
      <c r="AR87" s="477" cm="1">
        <f t="array" ref="AR87">_xlfn.XLOOKUP("?*",U87:Y87&amp;"",U87:Y87,T87,2,-1)</f>
        <v>3.2930999999999999</v>
      </c>
      <c r="AS87" s="477" t="str" cm="1">
        <f t="array" ref="AS87">_xlfn.XLOOKUP("?*",U87:X87&amp;"",$U$3:$X$3,S87,2,-1)</f>
        <v>H30</v>
      </c>
      <c r="AT87" s="477" cm="1">
        <f t="array" ref="AT87">_xlfn.XLOOKUP("?*",U87:X87&amp;"",U87:X87,T87,2,-1)</f>
        <v>3.3254000000000001</v>
      </c>
      <c r="AU87" s="1" t="str">
        <f t="shared" si="40"/>
        <v>H30</v>
      </c>
      <c r="AV87" s="1">
        <f t="shared" si="41"/>
        <v>3.3254000000000001</v>
      </c>
      <c r="AW87" s="1" t="str">
        <f t="shared" si="42"/>
        <v>H30</v>
      </c>
      <c r="AX87" s="1">
        <f t="shared" si="43"/>
        <v>3.3254000000000001</v>
      </c>
    </row>
    <row r="88" spans="1:50" ht="17.100000000000001" customHeight="1">
      <c r="A88" s="10">
        <v>412</v>
      </c>
      <c r="B88" s="53" t="s">
        <v>473</v>
      </c>
      <c r="C88" s="10" t="s">
        <v>132</v>
      </c>
      <c r="D88" s="69" t="s">
        <v>670</v>
      </c>
      <c r="E88" s="69" t="s">
        <v>1464</v>
      </c>
      <c r="F88" s="70" t="s">
        <v>1425</v>
      </c>
      <c r="G88" s="26" t="s">
        <v>9</v>
      </c>
      <c r="H88" s="8" t="s">
        <v>309</v>
      </c>
      <c r="I88" s="8" t="s">
        <v>541</v>
      </c>
      <c r="J88" s="8" t="s">
        <v>54</v>
      </c>
      <c r="K88" s="9" t="s">
        <v>270</v>
      </c>
      <c r="L88" s="30" t="s">
        <v>543</v>
      </c>
      <c r="M88" s="31">
        <v>5.4839000000000002</v>
      </c>
      <c r="N88" s="563" t="str" cm="1">
        <f t="array" ref="N88">_xlfn.XLOOKUP("?*",U88:Z88&amp;"",$U$3:$Z$3,S88,2,-1)</f>
        <v>H30</v>
      </c>
      <c r="O88" s="565" cm="1">
        <f t="array" ref="O88">_xlfn.XLOOKUP("?*",U88:Z88&amp;"",U88:Z88,T88,2,-1)</f>
        <v>5.2348999999999997</v>
      </c>
      <c r="P88" s="92"/>
      <c r="Q88" s="87"/>
      <c r="R88" s="1"/>
      <c r="S88" s="76" t="s">
        <v>1314</v>
      </c>
      <c r="T88" s="34">
        <v>5.2565</v>
      </c>
      <c r="U88" s="39">
        <v>5.2348999999999997</v>
      </c>
      <c r="V88" s="40"/>
      <c r="W88" s="40"/>
      <c r="X88" s="40"/>
      <c r="Y88" s="40"/>
      <c r="Z88" s="40"/>
      <c r="AA88" s="41"/>
      <c r="AB88" s="81"/>
      <c r="AC88" s="21"/>
      <c r="AD88" s="442">
        <f t="shared" si="47"/>
        <v>21.600000000000286</v>
      </c>
      <c r="AE88" s="443" t="str">
        <f t="shared" si="48"/>
        <v/>
      </c>
      <c r="AF88" s="443" t="str">
        <f t="shared" si="44"/>
        <v/>
      </c>
      <c r="AG88" s="478" t="str">
        <f t="shared" si="38"/>
        <v/>
      </c>
      <c r="AH88" s="443" t="str">
        <f t="shared" si="39"/>
        <v/>
      </c>
      <c r="AI88" s="441" t="str">
        <f t="shared" si="51"/>
        <v/>
      </c>
      <c r="AJ88" s="655" t="str">
        <f t="shared" si="46"/>
        <v/>
      </c>
      <c r="AM88" s="477" t="str" cm="1">
        <f t="array" ref="AM88">_xlfn.XLOOKUP("?*",U88:AA88&amp;"",$U$3:$AA$3,S88,2,-1)</f>
        <v>H30</v>
      </c>
      <c r="AN88" s="477" cm="1">
        <f t="array" ref="AN88">_xlfn.XLOOKUP("?*",U88:AA88&amp;"",U88:AA88,T88,2,-1)</f>
        <v>5.2348999999999997</v>
      </c>
      <c r="AO88" s="477" t="str" cm="1">
        <f t="array" ref="AO88">_xlfn.XLOOKUP("?*",U88:Z88&amp;"",$U$3:$Z$3,S88,2,-1)</f>
        <v>H30</v>
      </c>
      <c r="AP88" s="477" cm="1">
        <f t="array" ref="AP88">_xlfn.XLOOKUP("?*",U88:Z88&amp;"",U88:Z88,T88,2,-1)</f>
        <v>5.2348999999999997</v>
      </c>
      <c r="AQ88" s="477" t="str" cm="1">
        <f t="array" ref="AQ88">_xlfn.XLOOKUP("?*",U88:Y88&amp;"",$U$3:$Y$3,S88,2,-1)</f>
        <v>H30</v>
      </c>
      <c r="AR88" s="477" cm="1">
        <f t="array" ref="AR88">_xlfn.XLOOKUP("?*",U88:Y88&amp;"",U88:Y88,T88,2,-1)</f>
        <v>5.2348999999999997</v>
      </c>
      <c r="AS88" s="477" t="str" cm="1">
        <f t="array" ref="AS88">_xlfn.XLOOKUP("?*",U88:X88&amp;"",$U$3:$X$3,S88,2,-1)</f>
        <v>H30</v>
      </c>
      <c r="AT88" s="477" cm="1">
        <f t="array" ref="AT88">_xlfn.XLOOKUP("?*",U88:X88&amp;"",U88:X88,T88,2,-1)</f>
        <v>5.2348999999999997</v>
      </c>
      <c r="AU88" s="1" t="str">
        <f t="shared" si="40"/>
        <v>H30</v>
      </c>
      <c r="AV88" s="1">
        <f t="shared" si="41"/>
        <v>5.2348999999999997</v>
      </c>
      <c r="AW88" s="1" t="str">
        <f t="shared" si="42"/>
        <v>H30</v>
      </c>
      <c r="AX88" s="1">
        <f t="shared" si="43"/>
        <v>5.2348999999999997</v>
      </c>
    </row>
    <row r="89" spans="1:50" ht="17.100000000000001" customHeight="1">
      <c r="A89" s="10">
        <v>413</v>
      </c>
      <c r="B89" s="53" t="s">
        <v>475</v>
      </c>
      <c r="C89" s="10" t="s">
        <v>132</v>
      </c>
      <c r="D89" s="69" t="s">
        <v>905</v>
      </c>
      <c r="E89" s="69" t="s">
        <v>1465</v>
      </c>
      <c r="F89" s="70" t="s">
        <v>1493</v>
      </c>
      <c r="G89" s="26" t="s">
        <v>9</v>
      </c>
      <c r="H89" s="8" t="s">
        <v>31</v>
      </c>
      <c r="I89" s="8" t="s">
        <v>64</v>
      </c>
      <c r="J89" s="8" t="s">
        <v>54</v>
      </c>
      <c r="K89" s="9" t="s">
        <v>270</v>
      </c>
      <c r="L89" s="30" t="s">
        <v>543</v>
      </c>
      <c r="M89" s="31">
        <v>4.7274000000000003</v>
      </c>
      <c r="N89" s="563" t="str" cm="1">
        <f t="array" ref="N89">_xlfn.XLOOKUP("?*",U89:Z89&amp;"",$U$3:$Z$3,S89,2,-1)</f>
        <v>H30</v>
      </c>
      <c r="O89" s="565" cm="1">
        <f t="array" ref="O89">_xlfn.XLOOKUP("?*",U89:Z89&amp;"",U89:Z89,T89,2,-1)</f>
        <v>4.5007000000000001</v>
      </c>
      <c r="P89" s="92"/>
      <c r="Q89" s="87"/>
      <c r="R89" s="1"/>
      <c r="S89" s="76" t="s">
        <v>1318</v>
      </c>
      <c r="T89" s="34">
        <v>4.5297999999999998</v>
      </c>
      <c r="U89" s="39">
        <v>4.5007000000000001</v>
      </c>
      <c r="V89" s="40"/>
      <c r="W89" s="40"/>
      <c r="X89" s="40"/>
      <c r="Y89" s="40"/>
      <c r="Z89" s="40"/>
      <c r="AA89" s="41"/>
      <c r="AB89" s="81"/>
      <c r="AC89" s="21"/>
      <c r="AD89" s="442">
        <f t="shared" si="47"/>
        <v>29.099999999999682</v>
      </c>
      <c r="AE89" s="443" t="str">
        <f t="shared" si="48"/>
        <v/>
      </c>
      <c r="AF89" s="443" t="str">
        <f t="shared" si="44"/>
        <v/>
      </c>
      <c r="AG89" s="478" t="str">
        <f t="shared" si="38"/>
        <v/>
      </c>
      <c r="AH89" s="443" t="str">
        <f t="shared" si="39"/>
        <v/>
      </c>
      <c r="AI89" s="441" t="str">
        <f t="shared" si="51"/>
        <v/>
      </c>
      <c r="AJ89" s="655" t="str">
        <f t="shared" si="46"/>
        <v/>
      </c>
      <c r="AM89" s="477" t="str" cm="1">
        <f t="array" ref="AM89">_xlfn.XLOOKUP("?*",U89:AA89&amp;"",$U$3:$AA$3,S89,2,-1)</f>
        <v>H30</v>
      </c>
      <c r="AN89" s="477" cm="1">
        <f t="array" ref="AN89">_xlfn.XLOOKUP("?*",U89:AA89&amp;"",U89:AA89,T89,2,-1)</f>
        <v>4.5007000000000001</v>
      </c>
      <c r="AO89" s="477" t="str" cm="1">
        <f t="array" ref="AO89">_xlfn.XLOOKUP("?*",U89:Z89&amp;"",$U$3:$Z$3,S89,2,-1)</f>
        <v>H30</v>
      </c>
      <c r="AP89" s="477" cm="1">
        <f t="array" ref="AP89">_xlfn.XLOOKUP("?*",U89:Z89&amp;"",U89:Z89,T89,2,-1)</f>
        <v>4.5007000000000001</v>
      </c>
      <c r="AQ89" s="477" t="str" cm="1">
        <f t="array" ref="AQ89">_xlfn.XLOOKUP("?*",U89:Y89&amp;"",$U$3:$Y$3,S89,2,-1)</f>
        <v>H30</v>
      </c>
      <c r="AR89" s="477" cm="1">
        <f t="array" ref="AR89">_xlfn.XLOOKUP("?*",U89:Y89&amp;"",U89:Y89,T89,2,-1)</f>
        <v>4.5007000000000001</v>
      </c>
      <c r="AS89" s="477" t="str" cm="1">
        <f t="array" ref="AS89">_xlfn.XLOOKUP("?*",U89:X89&amp;"",$U$3:$X$3,S89,2,-1)</f>
        <v>H30</v>
      </c>
      <c r="AT89" s="477" cm="1">
        <f t="array" ref="AT89">_xlfn.XLOOKUP("?*",U89:X89&amp;"",U89:X89,T89,2,-1)</f>
        <v>4.5007000000000001</v>
      </c>
      <c r="AU89" s="1" t="str">
        <f t="shared" si="40"/>
        <v>H30</v>
      </c>
      <c r="AV89" s="1">
        <f t="shared" si="41"/>
        <v>4.5007000000000001</v>
      </c>
      <c r="AW89" s="1" t="str">
        <f t="shared" si="42"/>
        <v>H30</v>
      </c>
      <c r="AX89" s="1">
        <f t="shared" si="43"/>
        <v>4.5007000000000001</v>
      </c>
    </row>
    <row r="90" spans="1:50" ht="17.100000000000001" customHeight="1">
      <c r="A90" s="10">
        <v>414</v>
      </c>
      <c r="B90" s="53" t="s">
        <v>477</v>
      </c>
      <c r="C90" s="10" t="s">
        <v>132</v>
      </c>
      <c r="D90" s="69" t="s">
        <v>908</v>
      </c>
      <c r="E90" s="69" t="s">
        <v>1466</v>
      </c>
      <c r="F90" s="70" t="s">
        <v>150</v>
      </c>
      <c r="G90" s="26" t="s">
        <v>9</v>
      </c>
      <c r="H90" s="8" t="s">
        <v>31</v>
      </c>
      <c r="I90" s="8" t="s">
        <v>64</v>
      </c>
      <c r="J90" s="8" t="s">
        <v>54</v>
      </c>
      <c r="K90" s="9" t="s">
        <v>270</v>
      </c>
      <c r="L90" s="30" t="s">
        <v>543</v>
      </c>
      <c r="M90" s="31">
        <v>6.9382999999999999</v>
      </c>
      <c r="N90" s="563" t="str" cm="1">
        <f t="array" ref="N90">_xlfn.XLOOKUP("?*",U90:Z90&amp;"",$U$3:$Z$3,S90,2,-1)</f>
        <v>R2</v>
      </c>
      <c r="O90" s="565" cm="1">
        <f t="array" ref="O90">_xlfn.XLOOKUP("?*",U90:Z90&amp;"",U90:Z90,T90,2,-1)</f>
        <v>6.7087000000000003</v>
      </c>
      <c r="P90" s="92"/>
      <c r="Q90" s="87"/>
      <c r="R90" s="1"/>
      <c r="S90" s="76" t="s">
        <v>1301</v>
      </c>
      <c r="T90" s="34">
        <v>6.7340999999999998</v>
      </c>
      <c r="U90" s="39">
        <v>6.7239000000000004</v>
      </c>
      <c r="V90" s="40"/>
      <c r="W90" s="40">
        <v>6.7087000000000003</v>
      </c>
      <c r="X90" s="40"/>
      <c r="Y90" s="40"/>
      <c r="Z90" s="40"/>
      <c r="AA90" s="41"/>
      <c r="AB90" s="81"/>
      <c r="AC90" s="21"/>
      <c r="AD90" s="442">
        <f t="shared" si="47"/>
        <v>10.199999999999321</v>
      </c>
      <c r="AE90" s="443" t="str">
        <f t="shared" si="48"/>
        <v/>
      </c>
      <c r="AF90" s="443">
        <f t="shared" si="44"/>
        <v>15.200000000000102</v>
      </c>
      <c r="AG90" s="478" t="str">
        <f t="shared" si="38"/>
        <v/>
      </c>
      <c r="AH90" s="443" t="str">
        <f t="shared" si="39"/>
        <v/>
      </c>
      <c r="AI90" s="441" t="str">
        <f t="shared" si="51"/>
        <v/>
      </c>
      <c r="AJ90" s="655" t="str">
        <f t="shared" si="46"/>
        <v/>
      </c>
      <c r="AM90" s="477" t="str" cm="1">
        <f t="array" ref="AM90">_xlfn.XLOOKUP("?*",U90:AA90&amp;"",$U$3:$AA$3,S90,2,-1)</f>
        <v>R2</v>
      </c>
      <c r="AN90" s="477" cm="1">
        <f t="array" ref="AN90">_xlfn.XLOOKUP("?*",U90:AA90&amp;"",U90:AA90,T90,2,-1)</f>
        <v>6.7087000000000003</v>
      </c>
      <c r="AO90" s="477" t="str" cm="1">
        <f t="array" ref="AO90">_xlfn.XLOOKUP("?*",U90:Z90&amp;"",$U$3:$Z$3,S90,2,-1)</f>
        <v>R2</v>
      </c>
      <c r="AP90" s="477" cm="1">
        <f t="array" ref="AP90">_xlfn.XLOOKUP("?*",U90:Z90&amp;"",U90:Z90,T90,2,-1)</f>
        <v>6.7087000000000003</v>
      </c>
      <c r="AQ90" s="477" t="str" cm="1">
        <f t="array" ref="AQ90">_xlfn.XLOOKUP("?*",U90:Y90&amp;"",$U$3:$Y$3,S90,2,-1)</f>
        <v>R2</v>
      </c>
      <c r="AR90" s="477" cm="1">
        <f t="array" ref="AR90">_xlfn.XLOOKUP("?*",U90:Y90&amp;"",U90:Y90,T90,2,-1)</f>
        <v>6.7087000000000003</v>
      </c>
      <c r="AS90" s="477" t="str" cm="1">
        <f t="array" ref="AS90">_xlfn.XLOOKUP("?*",U90:X90&amp;"",$U$3:$X$3,S90,2,-1)</f>
        <v>R2</v>
      </c>
      <c r="AT90" s="477" cm="1">
        <f t="array" ref="AT90">_xlfn.XLOOKUP("?*",U90:X90&amp;"",U90:X90,T90,2,-1)</f>
        <v>6.7087000000000003</v>
      </c>
      <c r="AU90" s="1" t="str">
        <f t="shared" si="40"/>
        <v>R2</v>
      </c>
      <c r="AV90" s="1">
        <f t="shared" si="41"/>
        <v>6.7087000000000003</v>
      </c>
      <c r="AW90" s="1" t="str">
        <f t="shared" si="42"/>
        <v>H30</v>
      </c>
      <c r="AX90" s="1">
        <f t="shared" si="43"/>
        <v>6.7239000000000004</v>
      </c>
    </row>
    <row r="91" spans="1:50" ht="17.100000000000001" customHeight="1">
      <c r="A91" s="10">
        <v>415</v>
      </c>
      <c r="B91" s="53" t="s">
        <v>479</v>
      </c>
      <c r="C91" s="10" t="s">
        <v>132</v>
      </c>
      <c r="D91" s="69" t="s">
        <v>910</v>
      </c>
      <c r="E91" s="69" t="s">
        <v>1467</v>
      </c>
      <c r="F91" s="70" t="s">
        <v>1494</v>
      </c>
      <c r="G91" s="26" t="s">
        <v>9</v>
      </c>
      <c r="H91" s="8" t="s">
        <v>10</v>
      </c>
      <c r="I91" s="8" t="s">
        <v>64</v>
      </c>
      <c r="J91" s="8" t="s">
        <v>54</v>
      </c>
      <c r="K91" s="9" t="s">
        <v>270</v>
      </c>
      <c r="L91" s="30" t="s">
        <v>543</v>
      </c>
      <c r="M91" s="31">
        <v>5.6772</v>
      </c>
      <c r="N91" s="563" t="str" cm="1">
        <f t="array" ref="N91">_xlfn.XLOOKUP("?*",U91:Z91&amp;"",$U$3:$Z$3,S91,2,-1)</f>
        <v>H30</v>
      </c>
      <c r="O91" s="565" cm="1">
        <f t="array" ref="O91">_xlfn.XLOOKUP("?*",U91:Z91&amp;"",U91:Z91,T91,2,-1)</f>
        <v>5.5640000000000001</v>
      </c>
      <c r="P91" s="92"/>
      <c r="Q91" s="87"/>
      <c r="R91" s="1"/>
      <c r="S91" s="76" t="s">
        <v>1314</v>
      </c>
      <c r="T91" s="34">
        <v>5.5606999999999998</v>
      </c>
      <c r="U91" s="39">
        <v>5.5640000000000001</v>
      </c>
      <c r="V91" s="40"/>
      <c r="W91" s="40"/>
      <c r="X91" s="40"/>
      <c r="Y91" s="40"/>
      <c r="Z91" s="40"/>
      <c r="AA91" s="41"/>
      <c r="AB91" s="81"/>
      <c r="AC91" s="21"/>
      <c r="AD91" s="442">
        <f t="shared" si="47"/>
        <v>-3.3000000000003027</v>
      </c>
      <c r="AE91" s="443" t="str">
        <f t="shared" si="48"/>
        <v/>
      </c>
      <c r="AF91" s="443" t="str">
        <f t="shared" si="44"/>
        <v/>
      </c>
      <c r="AG91" s="478" t="str">
        <f t="shared" si="38"/>
        <v/>
      </c>
      <c r="AH91" s="443" t="str">
        <f t="shared" si="39"/>
        <v/>
      </c>
      <c r="AI91" s="441" t="str">
        <f t="shared" si="51"/>
        <v/>
      </c>
      <c r="AJ91" s="655" t="str">
        <f t="shared" si="46"/>
        <v/>
      </c>
      <c r="AM91" s="477" t="str" cm="1">
        <f t="array" ref="AM91">_xlfn.XLOOKUP("?*",U91:AA91&amp;"",$U$3:$AA$3,S91,2,-1)</f>
        <v>H30</v>
      </c>
      <c r="AN91" s="477" cm="1">
        <f t="array" ref="AN91">_xlfn.XLOOKUP("?*",U91:AA91&amp;"",U91:AA91,T91,2,-1)</f>
        <v>5.5640000000000001</v>
      </c>
      <c r="AO91" s="477" t="str" cm="1">
        <f t="array" ref="AO91">_xlfn.XLOOKUP("?*",U91:Z91&amp;"",$U$3:$Z$3,S91,2,-1)</f>
        <v>H30</v>
      </c>
      <c r="AP91" s="477" cm="1">
        <f t="array" ref="AP91">_xlfn.XLOOKUP("?*",U91:Z91&amp;"",U91:Z91,T91,2,-1)</f>
        <v>5.5640000000000001</v>
      </c>
      <c r="AQ91" s="477" t="str" cm="1">
        <f t="array" ref="AQ91">_xlfn.XLOOKUP("?*",U91:Y91&amp;"",$U$3:$Y$3,S91,2,-1)</f>
        <v>H30</v>
      </c>
      <c r="AR91" s="477" cm="1">
        <f t="array" ref="AR91">_xlfn.XLOOKUP("?*",U91:Y91&amp;"",U91:Y91,T91,2,-1)</f>
        <v>5.5640000000000001</v>
      </c>
      <c r="AS91" s="477" t="str" cm="1">
        <f t="array" ref="AS91">_xlfn.XLOOKUP("?*",U91:X91&amp;"",$U$3:$X$3,S91,2,-1)</f>
        <v>H30</v>
      </c>
      <c r="AT91" s="477" cm="1">
        <f t="array" ref="AT91">_xlfn.XLOOKUP("?*",U91:X91&amp;"",U91:X91,T91,2,-1)</f>
        <v>5.5640000000000001</v>
      </c>
      <c r="AU91" s="1" t="str">
        <f t="shared" si="40"/>
        <v>H30</v>
      </c>
      <c r="AV91" s="1">
        <f t="shared" si="41"/>
        <v>5.5640000000000001</v>
      </c>
      <c r="AW91" s="1" t="str">
        <f t="shared" si="42"/>
        <v>H30</v>
      </c>
      <c r="AX91" s="1">
        <f t="shared" si="43"/>
        <v>5.5640000000000001</v>
      </c>
    </row>
    <row r="92" spans="1:50" ht="17.100000000000001" customHeight="1">
      <c r="A92" s="10">
        <v>416</v>
      </c>
      <c r="B92" s="53" t="s">
        <v>480</v>
      </c>
      <c r="C92" s="10" t="s">
        <v>132</v>
      </c>
      <c r="D92" s="69" t="s">
        <v>579</v>
      </c>
      <c r="E92" s="69" t="s">
        <v>579</v>
      </c>
      <c r="F92" s="70" t="s">
        <v>153</v>
      </c>
      <c r="G92" s="26" t="s">
        <v>9</v>
      </c>
      <c r="H92" s="8" t="s">
        <v>10</v>
      </c>
      <c r="I92" s="8" t="s">
        <v>541</v>
      </c>
      <c r="J92" s="8" t="s">
        <v>54</v>
      </c>
      <c r="K92" s="9" t="s">
        <v>270</v>
      </c>
      <c r="L92" s="30" t="s">
        <v>543</v>
      </c>
      <c r="M92" s="31">
        <v>9.4882999999999988</v>
      </c>
      <c r="N92" s="563" t="str" cm="1">
        <f t="array" ref="N92">_xlfn.XLOOKUP("?*",U92:Z92&amp;"",$U$3:$Z$3,S92,2,-1)</f>
        <v>H30</v>
      </c>
      <c r="O92" s="565" cm="1">
        <f t="array" ref="O92">_xlfn.XLOOKUP("?*",U92:Z92&amp;"",U92:Z92,T92,2,-1)</f>
        <v>9.375</v>
      </c>
      <c r="P92" s="92"/>
      <c r="Q92" s="87"/>
      <c r="R92" s="1"/>
      <c r="S92" s="76" t="s">
        <v>1314</v>
      </c>
      <c r="T92" s="34">
        <v>9.3777000000000008</v>
      </c>
      <c r="U92" s="39">
        <v>9.375</v>
      </c>
      <c r="V92" s="40"/>
      <c r="W92" s="40"/>
      <c r="X92" s="40"/>
      <c r="Y92" s="40"/>
      <c r="Z92" s="40"/>
      <c r="AA92" s="41"/>
      <c r="AB92" s="81"/>
      <c r="AC92" s="21"/>
      <c r="AD92" s="442">
        <f t="shared" si="47"/>
        <v>2.7000000000008129</v>
      </c>
      <c r="AE92" s="443" t="str">
        <f t="shared" si="48"/>
        <v/>
      </c>
      <c r="AF92" s="443" t="str">
        <f t="shared" si="44"/>
        <v/>
      </c>
      <c r="AG92" s="478" t="str">
        <f t="shared" si="38"/>
        <v/>
      </c>
      <c r="AH92" s="443" t="str">
        <f t="shared" si="39"/>
        <v/>
      </c>
      <c r="AI92" s="441" t="str">
        <f t="shared" si="51"/>
        <v/>
      </c>
      <c r="AJ92" s="655" t="str">
        <f t="shared" si="46"/>
        <v/>
      </c>
      <c r="AM92" s="477" t="str" cm="1">
        <f t="array" ref="AM92">_xlfn.XLOOKUP("?*",U92:AA92&amp;"",$U$3:$AA$3,S92,2,-1)</f>
        <v>H30</v>
      </c>
      <c r="AN92" s="477" cm="1">
        <f t="array" ref="AN92">_xlfn.XLOOKUP("?*",U92:AA92&amp;"",U92:AA92,T92,2,-1)</f>
        <v>9.375</v>
      </c>
      <c r="AO92" s="477" t="str" cm="1">
        <f t="array" ref="AO92">_xlfn.XLOOKUP("?*",U92:Z92&amp;"",$U$3:$Z$3,S92,2,-1)</f>
        <v>H30</v>
      </c>
      <c r="AP92" s="477" cm="1">
        <f t="array" ref="AP92">_xlfn.XLOOKUP("?*",U92:Z92&amp;"",U92:Z92,T92,2,-1)</f>
        <v>9.375</v>
      </c>
      <c r="AQ92" s="477" t="str" cm="1">
        <f t="array" ref="AQ92">_xlfn.XLOOKUP("?*",U92:Y92&amp;"",$U$3:$Y$3,S92,2,-1)</f>
        <v>H30</v>
      </c>
      <c r="AR92" s="477" cm="1">
        <f t="array" ref="AR92">_xlfn.XLOOKUP("?*",U92:Y92&amp;"",U92:Y92,T92,2,-1)</f>
        <v>9.375</v>
      </c>
      <c r="AS92" s="477" t="str" cm="1">
        <f t="array" ref="AS92">_xlfn.XLOOKUP("?*",U92:X92&amp;"",$U$3:$X$3,S92,2,-1)</f>
        <v>H30</v>
      </c>
      <c r="AT92" s="477" cm="1">
        <f t="array" ref="AT92">_xlfn.XLOOKUP("?*",U92:X92&amp;"",U92:X92,T92,2,-1)</f>
        <v>9.375</v>
      </c>
      <c r="AU92" s="1" t="str">
        <f t="shared" si="40"/>
        <v>H30</v>
      </c>
      <c r="AV92" s="1">
        <f t="shared" si="41"/>
        <v>9.375</v>
      </c>
      <c r="AW92" s="1" t="str">
        <f t="shared" si="42"/>
        <v>H30</v>
      </c>
      <c r="AX92" s="1">
        <f t="shared" si="43"/>
        <v>9.375</v>
      </c>
    </row>
    <row r="93" spans="1:50" ht="17.100000000000001" customHeight="1">
      <c r="A93" s="502">
        <v>417</v>
      </c>
      <c r="B93" s="503" t="s">
        <v>1363</v>
      </c>
      <c r="C93" s="502" t="s">
        <v>132</v>
      </c>
      <c r="D93" s="504" t="s">
        <v>686</v>
      </c>
      <c r="E93" s="504" t="s">
        <v>686</v>
      </c>
      <c r="F93" s="484" t="s">
        <v>155</v>
      </c>
      <c r="G93" s="485" t="s">
        <v>9</v>
      </c>
      <c r="H93" s="486" t="s">
        <v>10</v>
      </c>
      <c r="I93" s="486" t="s">
        <v>541</v>
      </c>
      <c r="J93" s="486" t="s">
        <v>54</v>
      </c>
      <c r="K93" s="487" t="s">
        <v>270</v>
      </c>
      <c r="L93" s="30"/>
      <c r="M93" s="31"/>
      <c r="N93" s="563" t="str" cm="1">
        <f t="array" ref="N93">_xlfn.XLOOKUP("?*",U93:Z93&amp;"",$U$3:$Z$3,S93,2,-1)</f>
        <v>-</v>
      </c>
      <c r="O93" s="565" t="str" cm="1">
        <f t="array" ref="O93">_xlfn.XLOOKUP("?*",U93:Z93&amp;"",U93:Z93,T93,2,-1)</f>
        <v>-</v>
      </c>
      <c r="P93" s="92"/>
      <c r="Q93" s="505"/>
      <c r="R93" s="14"/>
      <c r="S93" s="76" t="s">
        <v>1354</v>
      </c>
      <c r="T93" s="488" t="s">
        <v>1354</v>
      </c>
      <c r="U93" s="506"/>
      <c r="V93" s="507"/>
      <c r="W93" s="507"/>
      <c r="X93" s="507"/>
      <c r="Y93" s="507"/>
      <c r="Z93" s="507"/>
      <c r="AA93" s="508"/>
      <c r="AB93" s="81"/>
      <c r="AC93" s="509"/>
      <c r="AD93" s="510" t="str">
        <f t="shared" ref="AD93" si="54">IF(U93="","",-(U93-T93)*1000)</f>
        <v/>
      </c>
      <c r="AE93" s="511" t="str">
        <f t="shared" ref="AE93" si="55">IF(V93="","",IF(U93="",-(V93-T93)*1000,-(V93-U93)*1000))</f>
        <v/>
      </c>
      <c r="AF93" s="511" t="str">
        <f t="shared" si="44"/>
        <v/>
      </c>
      <c r="AG93" s="512" t="str">
        <f t="shared" si="38"/>
        <v/>
      </c>
      <c r="AH93" s="443" t="str">
        <f t="shared" si="39"/>
        <v/>
      </c>
      <c r="AI93" s="441" t="str">
        <f t="shared" si="51"/>
        <v/>
      </c>
      <c r="AJ93" s="655" t="str">
        <f>IF(AA93="","",($AN93-$AP93)*(-1000))</f>
        <v/>
      </c>
      <c r="AK93" s="14"/>
      <c r="AL93" s="14"/>
      <c r="AM93" s="477" t="str" cm="1">
        <f t="array" ref="AM93">_xlfn.XLOOKUP("?*",U93:AA93&amp;"",$U$3:$AA$3,S93,2,-1)</f>
        <v>-</v>
      </c>
      <c r="AN93" s="477" t="str" cm="1">
        <f t="array" ref="AN93">_xlfn.XLOOKUP("?*",U93:AA93&amp;"",U93:AA93,T93,2,-1)</f>
        <v>-</v>
      </c>
      <c r="AO93" s="477" t="str" cm="1">
        <f t="array" ref="AO93">_xlfn.XLOOKUP("?*",U93:Z93&amp;"",$U$3:$Z$3,S93,2,-1)</f>
        <v>-</v>
      </c>
      <c r="AP93" s="477" t="str" cm="1">
        <f t="array" ref="AP93">_xlfn.XLOOKUP("?*",U93:Z93&amp;"",U93:Z93,T93,2,-1)</f>
        <v>-</v>
      </c>
      <c r="AQ93" s="477" t="str" cm="1">
        <f t="array" ref="AQ93">_xlfn.XLOOKUP("?*",U93:Y93&amp;"",$U$3:$Y$3,S93,2,-1)</f>
        <v>-</v>
      </c>
      <c r="AR93" s="477" t="str" cm="1">
        <f t="array" ref="AR93">_xlfn.XLOOKUP("?*",U93:Y93&amp;"",U93:Y93,T93,2,-1)</f>
        <v>-</v>
      </c>
      <c r="AS93" s="477" t="str" cm="1">
        <f t="array" ref="AS93">_xlfn.XLOOKUP("?*",U93:X93&amp;"",$U$3:$X$3,S93,2,-1)</f>
        <v>-</v>
      </c>
      <c r="AT93" s="477" t="str" cm="1">
        <f t="array" ref="AT93">_xlfn.XLOOKUP("?*",U93:X93&amp;"",U93:X93,T93,2,-1)</f>
        <v>-</v>
      </c>
      <c r="AU93" s="14" t="str">
        <f t="shared" si="40"/>
        <v>-</v>
      </c>
      <c r="AV93" s="14" t="str">
        <f t="shared" si="41"/>
        <v>-</v>
      </c>
      <c r="AW93" s="14" t="str">
        <f t="shared" si="42"/>
        <v>-</v>
      </c>
      <c r="AX93" s="14" t="str">
        <f t="shared" si="43"/>
        <v>-</v>
      </c>
    </row>
    <row r="94" spans="1:50" ht="17.100000000000001" customHeight="1">
      <c r="A94" s="10">
        <v>418</v>
      </c>
      <c r="B94" s="53" t="s">
        <v>599</v>
      </c>
      <c r="C94" s="10" t="s">
        <v>132</v>
      </c>
      <c r="D94" s="69" t="s">
        <v>686</v>
      </c>
      <c r="E94" s="69" t="s">
        <v>686</v>
      </c>
      <c r="F94" s="70" t="s">
        <v>1426</v>
      </c>
      <c r="G94" s="26" t="s">
        <v>9</v>
      </c>
      <c r="H94" s="8" t="s">
        <v>531</v>
      </c>
      <c r="I94" s="8" t="s">
        <v>541</v>
      </c>
      <c r="J94" s="8" t="s">
        <v>54</v>
      </c>
      <c r="K94" s="9" t="s">
        <v>270</v>
      </c>
      <c r="L94" s="30" t="s">
        <v>544</v>
      </c>
      <c r="M94" s="31" t="s">
        <v>544</v>
      </c>
      <c r="N94" s="563" t="str" cm="1">
        <f t="array" ref="N94">_xlfn.XLOOKUP("?*",U94:Z94&amp;"",$U$3:$Z$3,S94,2,-1)</f>
        <v>R2</v>
      </c>
      <c r="O94" s="565" cm="1">
        <f t="array" ref="O94">_xlfn.XLOOKUP("?*",U94:Z94&amp;"",U94:Z94,T94,2,-1)</f>
        <v>6.7367999999999997</v>
      </c>
      <c r="P94" s="92"/>
      <c r="Q94" s="87"/>
      <c r="R94" s="1"/>
      <c r="S94" s="76" t="s">
        <v>1302</v>
      </c>
      <c r="T94" s="34">
        <v>6.7507000000000001</v>
      </c>
      <c r="U94" s="39">
        <v>6.7454000000000001</v>
      </c>
      <c r="V94" s="40"/>
      <c r="W94" s="40">
        <v>6.7367999999999997</v>
      </c>
      <c r="X94" s="40"/>
      <c r="Y94" s="40"/>
      <c r="Z94" s="40"/>
      <c r="AA94" s="41"/>
      <c r="AB94" s="81"/>
      <c r="AC94" s="21"/>
      <c r="AD94" s="442">
        <f t="shared" si="47"/>
        <v>5.3000000000000824</v>
      </c>
      <c r="AE94" s="443" t="str">
        <f t="shared" si="48"/>
        <v/>
      </c>
      <c r="AF94" s="443">
        <f t="shared" si="44"/>
        <v>8.6000000000003851</v>
      </c>
      <c r="AG94" s="478" t="str">
        <f t="shared" si="38"/>
        <v/>
      </c>
      <c r="AH94" s="443" t="str">
        <f t="shared" si="39"/>
        <v/>
      </c>
      <c r="AI94" s="441" t="str">
        <f t="shared" si="51"/>
        <v/>
      </c>
      <c r="AJ94" s="655" t="str">
        <f t="shared" ref="AJ94:AJ117" si="56">IF(AA94="","",($AN94-$AP94)*(-1000))</f>
        <v/>
      </c>
      <c r="AM94" s="477" t="str" cm="1">
        <f t="array" ref="AM94">_xlfn.XLOOKUP("?*",U94:AA94&amp;"",$U$3:$AA$3,S94,2,-1)</f>
        <v>R2</v>
      </c>
      <c r="AN94" s="477" cm="1">
        <f t="array" ref="AN94">_xlfn.XLOOKUP("?*",U94:AA94&amp;"",U94:AA94,T94,2,-1)</f>
        <v>6.7367999999999997</v>
      </c>
      <c r="AO94" s="477" t="str" cm="1">
        <f t="array" ref="AO94">_xlfn.XLOOKUP("?*",U94:Z94&amp;"",$U$3:$Z$3,S94,2,-1)</f>
        <v>R2</v>
      </c>
      <c r="AP94" s="477" cm="1">
        <f t="array" ref="AP94">_xlfn.XLOOKUP("?*",U94:Z94&amp;"",U94:Z94,T94,2,-1)</f>
        <v>6.7367999999999997</v>
      </c>
      <c r="AQ94" s="477" t="str" cm="1">
        <f t="array" ref="AQ94">_xlfn.XLOOKUP("?*",U94:Y94&amp;"",$U$3:$Y$3,S94,2,-1)</f>
        <v>R2</v>
      </c>
      <c r="AR94" s="477" cm="1">
        <f t="array" ref="AR94">_xlfn.XLOOKUP("?*",U94:Y94&amp;"",U94:Y94,T94,2,-1)</f>
        <v>6.7367999999999997</v>
      </c>
      <c r="AS94" s="477" t="str" cm="1">
        <f t="array" ref="AS94">_xlfn.XLOOKUP("?*",U94:X94&amp;"",$U$3:$X$3,S94,2,-1)</f>
        <v>R2</v>
      </c>
      <c r="AT94" s="477" cm="1">
        <f t="array" ref="AT94">_xlfn.XLOOKUP("?*",U94:X94&amp;"",U94:X94,T94,2,-1)</f>
        <v>6.7367999999999997</v>
      </c>
      <c r="AU94" s="1" t="str">
        <f t="shared" si="40"/>
        <v>R2</v>
      </c>
      <c r="AV94" s="1">
        <f t="shared" si="41"/>
        <v>6.7367999999999997</v>
      </c>
      <c r="AW94" s="1" t="str">
        <f t="shared" si="42"/>
        <v>H30</v>
      </c>
      <c r="AX94" s="1">
        <f t="shared" si="43"/>
        <v>6.7454000000000001</v>
      </c>
    </row>
    <row r="95" spans="1:50" ht="17.100000000000001" customHeight="1">
      <c r="A95" s="502">
        <v>501</v>
      </c>
      <c r="B95" s="594">
        <v>7287</v>
      </c>
      <c r="C95" s="502" t="s">
        <v>156</v>
      </c>
      <c r="D95" s="504" t="s">
        <v>646</v>
      </c>
      <c r="E95" s="504" t="s">
        <v>646</v>
      </c>
      <c r="F95" s="484" t="s">
        <v>157</v>
      </c>
      <c r="G95" s="485" t="s">
        <v>12</v>
      </c>
      <c r="H95" s="486" t="s">
        <v>31</v>
      </c>
      <c r="I95" s="486" t="s">
        <v>541</v>
      </c>
      <c r="J95" s="486" t="s">
        <v>11</v>
      </c>
      <c r="K95" s="487" t="s">
        <v>263</v>
      </c>
      <c r="L95" s="30"/>
      <c r="M95" s="31"/>
      <c r="N95" s="563" t="str" cm="1">
        <f t="array" ref="N95">_xlfn.XLOOKUP("?*",U95:Z95&amp;"",$U$3:$Z$3,S95,2,-1)</f>
        <v>-</v>
      </c>
      <c r="O95" s="565" t="str" cm="1">
        <f t="array" ref="O95">_xlfn.XLOOKUP("?*",U95:Z95&amp;"",U95:Z95,T95,2,-1)</f>
        <v>-</v>
      </c>
      <c r="P95" s="92"/>
      <c r="Q95" s="505"/>
      <c r="R95" s="14"/>
      <c r="S95" s="76" t="s">
        <v>1354</v>
      </c>
      <c r="T95" s="488" t="s">
        <v>1354</v>
      </c>
      <c r="U95" s="506"/>
      <c r="V95" s="507"/>
      <c r="W95" s="507"/>
      <c r="X95" s="507"/>
      <c r="Y95" s="507"/>
      <c r="Z95" s="507"/>
      <c r="AA95" s="508"/>
      <c r="AB95" s="81"/>
      <c r="AC95" s="509"/>
      <c r="AD95" s="510" t="str">
        <f t="shared" ref="AD95" si="57">IF(U95="","",-(U95-T95)*1000)</f>
        <v/>
      </c>
      <c r="AE95" s="511" t="str">
        <f t="shared" ref="AE95" si="58">IF(V95="","",IF(U95="",-(V95-T95)*1000,-(V95-U95)*1000))</f>
        <v/>
      </c>
      <c r="AF95" s="511" t="str">
        <f t="shared" si="44"/>
        <v/>
      </c>
      <c r="AG95" s="512" t="str">
        <f t="shared" si="38"/>
        <v/>
      </c>
      <c r="AH95" s="443" t="str">
        <f t="shared" si="39"/>
        <v/>
      </c>
      <c r="AI95" s="441" t="str">
        <f t="shared" si="51"/>
        <v/>
      </c>
      <c r="AJ95" s="655" t="str">
        <f t="shared" si="56"/>
        <v/>
      </c>
      <c r="AK95" s="14"/>
      <c r="AL95" s="14"/>
      <c r="AM95" s="477" t="str" cm="1">
        <f t="array" ref="AM95">_xlfn.XLOOKUP("?*",U95:AA95&amp;"",$U$3:$AA$3,S95,2,-1)</f>
        <v>-</v>
      </c>
      <c r="AN95" s="477" t="str" cm="1">
        <f t="array" ref="AN95">_xlfn.XLOOKUP("?*",U95:AA95&amp;"",U95:AA95,T95,2,-1)</f>
        <v>-</v>
      </c>
      <c r="AO95" s="477" t="str" cm="1">
        <f t="array" ref="AO95">_xlfn.XLOOKUP("?*",U95:Z95&amp;"",$U$3:$Z$3,S95,2,-1)</f>
        <v>-</v>
      </c>
      <c r="AP95" s="477" t="str" cm="1">
        <f t="array" ref="AP95">_xlfn.XLOOKUP("?*",U95:Z95&amp;"",U95:Z95,T95,2,-1)</f>
        <v>-</v>
      </c>
      <c r="AQ95" s="477" t="str" cm="1">
        <f t="array" ref="AQ95">_xlfn.XLOOKUP("?*",U95:Y95&amp;"",$U$3:$Y$3,S95,2,-1)</f>
        <v>-</v>
      </c>
      <c r="AR95" s="477" t="str" cm="1">
        <f t="array" ref="AR95">_xlfn.XLOOKUP("?*",U95:Y95&amp;"",U95:Y95,T95,2,-1)</f>
        <v>-</v>
      </c>
      <c r="AS95" s="477" t="str" cm="1">
        <f t="array" ref="AS95">_xlfn.XLOOKUP("?*",U95:X95&amp;"",$U$3:$X$3,S95,2,-1)</f>
        <v>-</v>
      </c>
      <c r="AT95" s="477" t="str" cm="1">
        <f t="array" ref="AT95">_xlfn.XLOOKUP("?*",U95:X95&amp;"",U95:X95,T95,2,-1)</f>
        <v>-</v>
      </c>
      <c r="AU95" s="14" t="str">
        <f t="shared" si="40"/>
        <v>-</v>
      </c>
      <c r="AV95" s="14" t="str">
        <f t="shared" si="41"/>
        <v>-</v>
      </c>
      <c r="AW95" s="14" t="str">
        <f t="shared" si="42"/>
        <v>-</v>
      </c>
      <c r="AX95" s="14" t="str">
        <f t="shared" si="43"/>
        <v>-</v>
      </c>
    </row>
    <row r="96" spans="1:50" ht="17.100000000000001" customHeight="1">
      <c r="A96" s="10">
        <v>502</v>
      </c>
      <c r="B96" s="592">
        <v>7288</v>
      </c>
      <c r="C96" s="10" t="s">
        <v>156</v>
      </c>
      <c r="D96" s="69" t="s">
        <v>1090</v>
      </c>
      <c r="E96" s="69" t="s">
        <v>639</v>
      </c>
      <c r="F96" s="70" t="s">
        <v>159</v>
      </c>
      <c r="G96" s="26" t="s">
        <v>12</v>
      </c>
      <c r="H96" s="8" t="s">
        <v>31</v>
      </c>
      <c r="I96" s="8" t="s">
        <v>541</v>
      </c>
      <c r="J96" s="8" t="s">
        <v>310</v>
      </c>
      <c r="K96" s="9" t="s">
        <v>263</v>
      </c>
      <c r="L96" s="30" t="s">
        <v>545</v>
      </c>
      <c r="M96" s="31">
        <v>52.317500000000003</v>
      </c>
      <c r="N96" s="563" t="str" cm="1">
        <f t="array" ref="N96">_xlfn.XLOOKUP("?*",U96:Z96&amp;"",$U$3:$Z$3,S96,2,-1)</f>
        <v>R4</v>
      </c>
      <c r="O96" s="565" cm="1">
        <f t="array" ref="O96">_xlfn.XLOOKUP("?*",U96:Z96&amp;"",U96:Z96,T96,2,-1)</f>
        <v>52.209699999999998</v>
      </c>
      <c r="P96" s="92"/>
      <c r="Q96" s="87"/>
      <c r="R96" s="1"/>
      <c r="S96" s="76" t="s">
        <v>1305</v>
      </c>
      <c r="T96" s="34">
        <v>52.213000000000001</v>
      </c>
      <c r="U96" s="39"/>
      <c r="V96" s="40"/>
      <c r="W96" s="40"/>
      <c r="X96" s="40">
        <v>52.211799999999997</v>
      </c>
      <c r="Y96" s="40">
        <v>52.209699999999998</v>
      </c>
      <c r="Z96" s="40"/>
      <c r="AA96" s="41"/>
      <c r="AB96" s="81"/>
      <c r="AC96" s="21"/>
      <c r="AD96" s="442" t="str">
        <f t="shared" si="47"/>
        <v/>
      </c>
      <c r="AE96" s="443" t="str">
        <f t="shared" si="48"/>
        <v/>
      </c>
      <c r="AF96" s="443" t="str">
        <f t="shared" si="44"/>
        <v/>
      </c>
      <c r="AG96" s="478">
        <f t="shared" si="38"/>
        <v>1.2000000000043087</v>
      </c>
      <c r="AH96" s="443">
        <f t="shared" si="39"/>
        <v>2.0999999999986585</v>
      </c>
      <c r="AI96" s="441" t="str">
        <f t="shared" si="51"/>
        <v/>
      </c>
      <c r="AJ96" s="655" t="str">
        <f t="shared" si="56"/>
        <v/>
      </c>
      <c r="AM96" s="477" t="str" cm="1">
        <f t="array" ref="AM96">_xlfn.XLOOKUP("?*",U96:AA96&amp;"",$U$3:$AA$3,S96,2,-1)</f>
        <v>R4</v>
      </c>
      <c r="AN96" s="477" cm="1">
        <f t="array" ref="AN96">_xlfn.XLOOKUP("?*",U96:AA96&amp;"",U96:AA96,T96,2,-1)</f>
        <v>52.209699999999998</v>
      </c>
      <c r="AO96" s="477" t="str" cm="1">
        <f t="array" ref="AO96">_xlfn.XLOOKUP("?*",U96:Z96&amp;"",$U$3:$Z$3,S96,2,-1)</f>
        <v>R4</v>
      </c>
      <c r="AP96" s="477" cm="1">
        <f t="array" ref="AP96">_xlfn.XLOOKUP("?*",U96:Z96&amp;"",U96:Z96,T96,2,-1)</f>
        <v>52.209699999999998</v>
      </c>
      <c r="AQ96" s="477" t="str" cm="1">
        <f t="array" ref="AQ96">_xlfn.XLOOKUP("?*",U96:Y96&amp;"",$U$3:$Y$3,S96,2,-1)</f>
        <v>R4</v>
      </c>
      <c r="AR96" s="477" cm="1">
        <f t="array" ref="AR96">_xlfn.XLOOKUP("?*",U96:Y96&amp;"",U96:Y96,T96,2,-1)</f>
        <v>52.209699999999998</v>
      </c>
      <c r="AS96" s="477" t="str" cm="1">
        <f t="array" ref="AS96">_xlfn.XLOOKUP("?*",U96:X96&amp;"",$U$3:$X$3,S96,2,-1)</f>
        <v>R3</v>
      </c>
      <c r="AT96" s="477" cm="1">
        <f t="array" ref="AT96">_xlfn.XLOOKUP("?*",U96:X96&amp;"",U96:X96,T96,2,-1)</f>
        <v>52.211799999999997</v>
      </c>
      <c r="AU96" s="1" t="str">
        <f t="shared" si="40"/>
        <v>H28</v>
      </c>
      <c r="AV96" s="1">
        <f t="shared" si="41"/>
        <v>52.213000000000001</v>
      </c>
      <c r="AW96" s="1" t="str">
        <f t="shared" si="42"/>
        <v>H28</v>
      </c>
      <c r="AX96" s="1">
        <f t="shared" si="43"/>
        <v>52.213000000000001</v>
      </c>
    </row>
    <row r="97" spans="1:50" ht="17.100000000000001" customHeight="1">
      <c r="A97" s="10">
        <v>503</v>
      </c>
      <c r="B97" s="592">
        <v>7289</v>
      </c>
      <c r="C97" s="10" t="s">
        <v>156</v>
      </c>
      <c r="D97" s="69" t="s">
        <v>574</v>
      </c>
      <c r="E97" s="69" t="s">
        <v>574</v>
      </c>
      <c r="F97" s="70" t="s">
        <v>1427</v>
      </c>
      <c r="G97" s="26" t="s">
        <v>12</v>
      </c>
      <c r="H97" s="8" t="s">
        <v>31</v>
      </c>
      <c r="I97" s="8" t="s">
        <v>541</v>
      </c>
      <c r="J97" s="8" t="s">
        <v>308</v>
      </c>
      <c r="K97" s="9" t="s">
        <v>263</v>
      </c>
      <c r="L97" s="30" t="s">
        <v>545</v>
      </c>
      <c r="M97" s="31">
        <v>34.684100000000001</v>
      </c>
      <c r="N97" s="563" t="str" cm="1">
        <f t="array" ref="N97">_xlfn.XLOOKUP("?*",U97:Z97&amp;"",$U$3:$Z$3,S97,2,-1)</f>
        <v>R3</v>
      </c>
      <c r="O97" s="565" cm="1">
        <f t="array" ref="O97">_xlfn.XLOOKUP("?*",U97:Z97&amp;"",U97:Z97,T97,2,-1)</f>
        <v>34.584499999999998</v>
      </c>
      <c r="P97" s="92"/>
      <c r="Q97" s="87"/>
      <c r="R97" s="1"/>
      <c r="S97" s="76" t="s">
        <v>1305</v>
      </c>
      <c r="T97" s="34">
        <v>34.587000000000003</v>
      </c>
      <c r="U97" s="39">
        <v>34.587800000000001</v>
      </c>
      <c r="V97" s="40"/>
      <c r="W97" s="40">
        <v>34.583599999999997</v>
      </c>
      <c r="X97" s="40">
        <v>34.584499999999998</v>
      </c>
      <c r="Y97" s="40"/>
      <c r="Z97" s="40"/>
      <c r="AA97" s="41"/>
      <c r="AB97" s="81"/>
      <c r="AC97" s="21"/>
      <c r="AD97" s="442">
        <f t="shared" si="47"/>
        <v>-0.79999999999813554</v>
      </c>
      <c r="AE97" s="443" t="str">
        <f t="shared" si="48"/>
        <v/>
      </c>
      <c r="AF97" s="443">
        <f t="shared" si="44"/>
        <v>4.2000000000044224</v>
      </c>
      <c r="AG97" s="478">
        <f t="shared" si="38"/>
        <v>-0.90000000000145519</v>
      </c>
      <c r="AH97" s="443" t="str">
        <f t="shared" si="39"/>
        <v/>
      </c>
      <c r="AI97" s="441" t="str">
        <f t="shared" si="51"/>
        <v/>
      </c>
      <c r="AJ97" s="655" t="str">
        <f t="shared" si="56"/>
        <v/>
      </c>
      <c r="AM97" s="477" t="str" cm="1">
        <f t="array" ref="AM97">_xlfn.XLOOKUP("?*",U97:AA97&amp;"",$U$3:$AA$3,S97,2,-1)</f>
        <v>R3</v>
      </c>
      <c r="AN97" s="477" cm="1">
        <f t="array" ref="AN97">_xlfn.XLOOKUP("?*",U97:AA97&amp;"",U97:AA97,T97,2,-1)</f>
        <v>34.584499999999998</v>
      </c>
      <c r="AO97" s="477" t="str" cm="1">
        <f t="array" ref="AO97">_xlfn.XLOOKUP("?*",U97:Z97&amp;"",$U$3:$Z$3,S97,2,-1)</f>
        <v>R3</v>
      </c>
      <c r="AP97" s="477" cm="1">
        <f t="array" ref="AP97">_xlfn.XLOOKUP("?*",U97:Z97&amp;"",U97:Z97,T97,2,-1)</f>
        <v>34.584499999999998</v>
      </c>
      <c r="AQ97" s="477" t="str" cm="1">
        <f t="array" ref="AQ97">_xlfn.XLOOKUP("?*",U97:Y97&amp;"",$U$3:$Y$3,S97,2,-1)</f>
        <v>R3</v>
      </c>
      <c r="AR97" s="477" cm="1">
        <f t="array" ref="AR97">_xlfn.XLOOKUP("?*",U97:Y97&amp;"",U97:Y97,T97,2,-1)</f>
        <v>34.584499999999998</v>
      </c>
      <c r="AS97" s="477" t="str" cm="1">
        <f t="array" ref="AS97">_xlfn.XLOOKUP("?*",U97:X97&amp;"",$U$3:$X$3,S97,2,-1)</f>
        <v>R3</v>
      </c>
      <c r="AT97" s="477" cm="1">
        <f t="array" ref="AT97">_xlfn.XLOOKUP("?*",U97:X97&amp;"",U97:X97,T97,2,-1)</f>
        <v>34.584499999999998</v>
      </c>
      <c r="AU97" s="1" t="str">
        <f t="shared" si="40"/>
        <v>R2</v>
      </c>
      <c r="AV97" s="1">
        <f t="shared" si="41"/>
        <v>34.583599999999997</v>
      </c>
      <c r="AW97" s="1" t="str">
        <f t="shared" si="42"/>
        <v>H30</v>
      </c>
      <c r="AX97" s="1">
        <f t="shared" si="43"/>
        <v>34.587800000000001</v>
      </c>
    </row>
    <row r="98" spans="1:50" ht="17.100000000000001" customHeight="1">
      <c r="A98" s="10">
        <v>504</v>
      </c>
      <c r="B98" s="53" t="s">
        <v>483</v>
      </c>
      <c r="C98" s="10" t="s">
        <v>156</v>
      </c>
      <c r="D98" s="69" t="s">
        <v>560</v>
      </c>
      <c r="E98" s="69" t="s">
        <v>560</v>
      </c>
      <c r="F98" s="70" t="s">
        <v>1428</v>
      </c>
      <c r="G98" s="26" t="s">
        <v>9</v>
      </c>
      <c r="H98" s="8" t="s">
        <v>10</v>
      </c>
      <c r="I98" s="8" t="s">
        <v>541</v>
      </c>
      <c r="J98" s="8" t="s">
        <v>281</v>
      </c>
      <c r="K98" s="9" t="s">
        <v>547</v>
      </c>
      <c r="L98" s="30" t="s">
        <v>545</v>
      </c>
      <c r="M98" s="31">
        <v>54.016599999999997</v>
      </c>
      <c r="N98" s="563" t="str" cm="1">
        <f t="array" ref="N98">_xlfn.XLOOKUP("?*",U98:Z98&amp;"",$U$3:$Z$3,S98,2,-1)</f>
        <v>R4</v>
      </c>
      <c r="O98" s="565" cm="1">
        <f t="array" ref="O98">_xlfn.XLOOKUP("?*",U98:Z98&amp;"",U98:Z98,T98,2,-1)</f>
        <v>51.691699999999997</v>
      </c>
      <c r="P98" s="92"/>
      <c r="Q98" s="87"/>
      <c r="R98" s="1"/>
      <c r="S98" s="76" t="s">
        <v>1302</v>
      </c>
      <c r="T98" s="34">
        <v>53.911099999999998</v>
      </c>
      <c r="U98" s="39">
        <v>51.6937</v>
      </c>
      <c r="V98" s="40"/>
      <c r="W98" s="40"/>
      <c r="X98" s="40"/>
      <c r="Y98" s="40">
        <v>51.691699999999997</v>
      </c>
      <c r="Z98" s="40"/>
      <c r="AA98" s="41"/>
      <c r="AB98" s="81"/>
      <c r="AC98" s="21"/>
      <c r="AD98" s="442">
        <f t="shared" si="47"/>
        <v>2217.3999999999978</v>
      </c>
      <c r="AE98" s="443" t="str">
        <f t="shared" si="48"/>
        <v/>
      </c>
      <c r="AF98" s="443" t="str">
        <f t="shared" si="44"/>
        <v/>
      </c>
      <c r="AG98" s="478" t="str">
        <f t="shared" si="38"/>
        <v/>
      </c>
      <c r="AH98" s="443">
        <f t="shared" si="39"/>
        <v>2.0000000000024443</v>
      </c>
      <c r="AI98" s="441" t="str">
        <f t="shared" si="51"/>
        <v/>
      </c>
      <c r="AJ98" s="655" t="str">
        <f t="shared" si="56"/>
        <v/>
      </c>
      <c r="AM98" s="477" t="str" cm="1">
        <f t="array" ref="AM98">_xlfn.XLOOKUP("?*",U98:AA98&amp;"",$U$3:$AA$3,S98,2,-1)</f>
        <v>R4</v>
      </c>
      <c r="AN98" s="477" cm="1">
        <f t="array" ref="AN98">_xlfn.XLOOKUP("?*",U98:AA98&amp;"",U98:AA98,T98,2,-1)</f>
        <v>51.691699999999997</v>
      </c>
      <c r="AO98" s="477" t="str" cm="1">
        <f t="array" ref="AO98">_xlfn.XLOOKUP("?*",U98:Z98&amp;"",$U$3:$Z$3,S98,2,-1)</f>
        <v>R4</v>
      </c>
      <c r="AP98" s="477" cm="1">
        <f t="array" ref="AP98">_xlfn.XLOOKUP("?*",U98:Z98&amp;"",U98:Z98,T98,2,-1)</f>
        <v>51.691699999999997</v>
      </c>
      <c r="AQ98" s="477" t="str" cm="1">
        <f t="array" ref="AQ98">_xlfn.XLOOKUP("?*",U98:Y98&amp;"",$U$3:$Y$3,S98,2,-1)</f>
        <v>R4</v>
      </c>
      <c r="AR98" s="477" cm="1">
        <f t="array" ref="AR98">_xlfn.XLOOKUP("?*",U98:Y98&amp;"",U98:Y98,T98,2,-1)</f>
        <v>51.691699999999997</v>
      </c>
      <c r="AS98" s="477" t="str" cm="1">
        <f t="array" ref="AS98">_xlfn.XLOOKUP("?*",U98:X98&amp;"",$U$3:$X$3,S98,2,-1)</f>
        <v>H30</v>
      </c>
      <c r="AT98" s="477" cm="1">
        <f t="array" ref="AT98">_xlfn.XLOOKUP("?*",U98:X98&amp;"",U98:X98,T98,2,-1)</f>
        <v>51.6937</v>
      </c>
      <c r="AU98" s="1" t="str">
        <f t="shared" si="40"/>
        <v>H30</v>
      </c>
      <c r="AV98" s="1">
        <f t="shared" si="41"/>
        <v>51.6937</v>
      </c>
      <c r="AW98" s="1" t="str">
        <f t="shared" si="42"/>
        <v>H30</v>
      </c>
      <c r="AX98" s="1">
        <f t="shared" si="43"/>
        <v>51.6937</v>
      </c>
    </row>
    <row r="99" spans="1:50" ht="17.100000000000001" customHeight="1">
      <c r="A99" s="10">
        <v>505</v>
      </c>
      <c r="B99" s="53" t="s">
        <v>485</v>
      </c>
      <c r="C99" s="10" t="s">
        <v>156</v>
      </c>
      <c r="D99" s="69" t="s">
        <v>719</v>
      </c>
      <c r="E99" s="69" t="s">
        <v>719</v>
      </c>
      <c r="F99" s="70" t="s">
        <v>165</v>
      </c>
      <c r="G99" s="26" t="s">
        <v>9</v>
      </c>
      <c r="H99" s="8" t="s">
        <v>10</v>
      </c>
      <c r="I99" s="8" t="s">
        <v>541</v>
      </c>
      <c r="J99" s="8" t="s">
        <v>311</v>
      </c>
      <c r="K99" s="9" t="s">
        <v>263</v>
      </c>
      <c r="L99" s="30" t="s">
        <v>545</v>
      </c>
      <c r="M99" s="31">
        <v>35.902900000000002</v>
      </c>
      <c r="N99" s="563" t="str" cm="1">
        <f t="array" ref="N99">_xlfn.XLOOKUP("?*",U99:Z99&amp;"",$U$3:$Z$3,S99,2,-1)</f>
        <v>R4</v>
      </c>
      <c r="O99" s="565" cm="1">
        <f t="array" ref="O99">_xlfn.XLOOKUP("?*",U99:Z99&amp;"",U99:Z99,T99,2,-1)</f>
        <v>35.787199999999999</v>
      </c>
      <c r="P99" s="92"/>
      <c r="Q99" s="87"/>
      <c r="R99" s="1"/>
      <c r="S99" s="76" t="s">
        <v>1301</v>
      </c>
      <c r="T99" s="34">
        <v>35.793999999999997</v>
      </c>
      <c r="U99" s="39">
        <v>35.795200000000001</v>
      </c>
      <c r="V99" s="40"/>
      <c r="W99" s="40">
        <v>35.790100000000002</v>
      </c>
      <c r="X99" s="40"/>
      <c r="Y99" s="40">
        <v>35.787199999999999</v>
      </c>
      <c r="Z99" s="40"/>
      <c r="AA99" s="41"/>
      <c r="AB99" s="81"/>
      <c r="AC99" s="21"/>
      <c r="AD99" s="442">
        <f t="shared" si="47"/>
        <v>-1.2000000000043087</v>
      </c>
      <c r="AE99" s="443" t="str">
        <f t="shared" si="48"/>
        <v/>
      </c>
      <c r="AF99" s="443">
        <f t="shared" si="44"/>
        <v>5.0999999999987722</v>
      </c>
      <c r="AG99" s="478" t="str">
        <f t="shared" si="38"/>
        <v/>
      </c>
      <c r="AH99" s="443">
        <f t="shared" si="39"/>
        <v>2.9000000000038995</v>
      </c>
      <c r="AI99" s="441" t="str">
        <f t="shared" si="51"/>
        <v/>
      </c>
      <c r="AJ99" s="655" t="str">
        <f t="shared" si="56"/>
        <v/>
      </c>
      <c r="AM99" s="477" t="str" cm="1">
        <f t="array" ref="AM99">_xlfn.XLOOKUP("?*",U99:AA99&amp;"",$U$3:$AA$3,S99,2,-1)</f>
        <v>R4</v>
      </c>
      <c r="AN99" s="477" cm="1">
        <f t="array" ref="AN99">_xlfn.XLOOKUP("?*",U99:AA99&amp;"",U99:AA99,T99,2,-1)</f>
        <v>35.787199999999999</v>
      </c>
      <c r="AO99" s="477" t="str" cm="1">
        <f t="array" ref="AO99">_xlfn.XLOOKUP("?*",U99:Z99&amp;"",$U$3:$Z$3,S99,2,-1)</f>
        <v>R4</v>
      </c>
      <c r="AP99" s="477" cm="1">
        <f t="array" ref="AP99">_xlfn.XLOOKUP("?*",U99:Z99&amp;"",U99:Z99,T99,2,-1)</f>
        <v>35.787199999999999</v>
      </c>
      <c r="AQ99" s="477" t="str" cm="1">
        <f t="array" ref="AQ99">_xlfn.XLOOKUP("?*",U99:Y99&amp;"",$U$3:$Y$3,S99,2,-1)</f>
        <v>R4</v>
      </c>
      <c r="AR99" s="477" cm="1">
        <f t="array" ref="AR99">_xlfn.XLOOKUP("?*",U99:Y99&amp;"",U99:Y99,T99,2,-1)</f>
        <v>35.787199999999999</v>
      </c>
      <c r="AS99" s="477" t="str" cm="1">
        <f t="array" ref="AS99">_xlfn.XLOOKUP("?*",U99:X99&amp;"",$U$3:$X$3,S99,2,-1)</f>
        <v>R2</v>
      </c>
      <c r="AT99" s="477" cm="1">
        <f t="array" ref="AT99">_xlfn.XLOOKUP("?*",U99:X99&amp;"",U99:X99,T99,2,-1)</f>
        <v>35.790100000000002</v>
      </c>
      <c r="AU99" s="1" t="str">
        <f t="shared" si="40"/>
        <v>R2</v>
      </c>
      <c r="AV99" s="1">
        <f t="shared" si="41"/>
        <v>35.790100000000002</v>
      </c>
      <c r="AW99" s="1" t="str">
        <f t="shared" si="42"/>
        <v>H30</v>
      </c>
      <c r="AX99" s="1">
        <f t="shared" si="43"/>
        <v>35.795200000000001</v>
      </c>
    </row>
    <row r="100" spans="1:50" ht="17.100000000000001" customHeight="1">
      <c r="A100" s="10">
        <v>506</v>
      </c>
      <c r="B100" s="53" t="s">
        <v>487</v>
      </c>
      <c r="C100" s="10" t="s">
        <v>156</v>
      </c>
      <c r="D100" s="69" t="s">
        <v>712</v>
      </c>
      <c r="E100" s="69" t="s">
        <v>712</v>
      </c>
      <c r="F100" s="70" t="s">
        <v>167</v>
      </c>
      <c r="G100" s="26" t="s">
        <v>9</v>
      </c>
      <c r="H100" s="8" t="s">
        <v>10</v>
      </c>
      <c r="I100" s="8" t="s">
        <v>541</v>
      </c>
      <c r="J100" s="8" t="s">
        <v>308</v>
      </c>
      <c r="K100" s="9" t="s">
        <v>263</v>
      </c>
      <c r="L100" s="30" t="s">
        <v>545</v>
      </c>
      <c r="M100" s="31">
        <v>34.697699999999998</v>
      </c>
      <c r="N100" s="563" t="str" cm="1">
        <f t="array" ref="N100">_xlfn.XLOOKUP("?*",U100:Z100&amp;"",$U$3:$Z$3,S100,2,-1)</f>
        <v>R2</v>
      </c>
      <c r="O100" s="565" cm="1">
        <f t="array" ref="O100">_xlfn.XLOOKUP("?*",U100:Z100&amp;"",U100:Z100,T100,2,-1)</f>
        <v>34.5901</v>
      </c>
      <c r="P100" s="92"/>
      <c r="Q100" s="87"/>
      <c r="R100" s="1"/>
      <c r="S100" s="76" t="s">
        <v>1302</v>
      </c>
      <c r="T100" s="34">
        <v>34.591799999999999</v>
      </c>
      <c r="U100" s="39">
        <v>34.595399999999998</v>
      </c>
      <c r="V100" s="40"/>
      <c r="W100" s="40">
        <v>34.5901</v>
      </c>
      <c r="X100" s="40"/>
      <c r="Y100" s="40"/>
      <c r="Z100" s="40"/>
      <c r="AA100" s="41"/>
      <c r="AB100" s="81"/>
      <c r="AC100" s="21"/>
      <c r="AD100" s="442">
        <f t="shared" si="47"/>
        <v>-3.5999999999987153</v>
      </c>
      <c r="AE100" s="443" t="str">
        <f t="shared" si="48"/>
        <v/>
      </c>
      <c r="AF100" s="443">
        <f t="shared" si="44"/>
        <v>5.2999999999983061</v>
      </c>
      <c r="AG100" s="478" t="str">
        <f t="shared" si="38"/>
        <v/>
      </c>
      <c r="AH100" s="443" t="str">
        <f t="shared" si="39"/>
        <v/>
      </c>
      <c r="AI100" s="441" t="str">
        <f t="shared" si="51"/>
        <v/>
      </c>
      <c r="AJ100" s="655" t="str">
        <f t="shared" si="56"/>
        <v/>
      </c>
      <c r="AM100" s="477" t="str" cm="1">
        <f t="array" ref="AM100">_xlfn.XLOOKUP("?*",U100:AA100&amp;"",$U$3:$AA$3,S100,2,-1)</f>
        <v>R2</v>
      </c>
      <c r="AN100" s="477" cm="1">
        <f t="array" ref="AN100">_xlfn.XLOOKUP("?*",U100:AA100&amp;"",U100:AA100,T100,2,-1)</f>
        <v>34.5901</v>
      </c>
      <c r="AO100" s="477" t="str" cm="1">
        <f t="array" ref="AO100">_xlfn.XLOOKUP("?*",U100:Z100&amp;"",$U$3:$Z$3,S100,2,-1)</f>
        <v>R2</v>
      </c>
      <c r="AP100" s="477" cm="1">
        <f t="array" ref="AP100">_xlfn.XLOOKUP("?*",U100:Z100&amp;"",U100:Z100,T100,2,-1)</f>
        <v>34.5901</v>
      </c>
      <c r="AQ100" s="477" t="str" cm="1">
        <f t="array" ref="AQ100">_xlfn.XLOOKUP("?*",U100:Y100&amp;"",$U$3:$Y$3,S100,2,-1)</f>
        <v>R2</v>
      </c>
      <c r="AR100" s="477" cm="1">
        <f t="array" ref="AR100">_xlfn.XLOOKUP("?*",U100:Y100&amp;"",U100:Y100,T100,2,-1)</f>
        <v>34.5901</v>
      </c>
      <c r="AS100" s="477" t="str" cm="1">
        <f t="array" ref="AS100">_xlfn.XLOOKUP("?*",U100:X100&amp;"",$U$3:$X$3,S100,2,-1)</f>
        <v>R2</v>
      </c>
      <c r="AT100" s="477" cm="1">
        <f t="array" ref="AT100">_xlfn.XLOOKUP("?*",U100:X100&amp;"",U100:X100,T100,2,-1)</f>
        <v>34.5901</v>
      </c>
      <c r="AU100" s="1" t="str">
        <f t="shared" si="40"/>
        <v>R2</v>
      </c>
      <c r="AV100" s="1">
        <f t="shared" si="41"/>
        <v>34.5901</v>
      </c>
      <c r="AW100" s="1" t="str">
        <f t="shared" si="42"/>
        <v>H30</v>
      </c>
      <c r="AX100" s="1">
        <f t="shared" si="43"/>
        <v>34.595399999999998</v>
      </c>
    </row>
    <row r="101" spans="1:50" ht="17.100000000000001" customHeight="1">
      <c r="A101" s="10">
        <v>507</v>
      </c>
      <c r="B101" s="53" t="s">
        <v>488</v>
      </c>
      <c r="C101" s="10" t="s">
        <v>156</v>
      </c>
      <c r="D101" s="69" t="s">
        <v>717</v>
      </c>
      <c r="E101" s="69" t="s">
        <v>717</v>
      </c>
      <c r="F101" s="70" t="s">
        <v>170</v>
      </c>
      <c r="G101" s="26" t="s">
        <v>9</v>
      </c>
      <c r="H101" s="8" t="s">
        <v>127</v>
      </c>
      <c r="I101" s="8" t="s">
        <v>541</v>
      </c>
      <c r="J101" s="8" t="s">
        <v>141</v>
      </c>
      <c r="K101" s="9" t="s">
        <v>547</v>
      </c>
      <c r="L101" s="30" t="s">
        <v>545</v>
      </c>
      <c r="M101" s="31">
        <v>106.9341</v>
      </c>
      <c r="N101" s="563" t="str" cm="1">
        <f t="array" ref="N101">_xlfn.XLOOKUP("?*",U101:Z101&amp;"",$U$3:$Z$3,S101,2,-1)</f>
        <v>R3</v>
      </c>
      <c r="O101" s="565" cm="1">
        <f t="array" ref="O101">_xlfn.XLOOKUP("?*",U101:Z101&amp;"",U101:Z101,T101,2,-1)</f>
        <v>106.8322</v>
      </c>
      <c r="P101" s="92"/>
      <c r="Q101" s="87"/>
      <c r="R101" s="1"/>
      <c r="S101" s="76" t="s">
        <v>1306</v>
      </c>
      <c r="T101" s="34">
        <v>106.8351</v>
      </c>
      <c r="U101" s="39"/>
      <c r="V101" s="40"/>
      <c r="W101" s="40"/>
      <c r="X101" s="40">
        <v>106.8322</v>
      </c>
      <c r="Y101" s="40"/>
      <c r="Z101" s="40"/>
      <c r="AA101" s="41"/>
      <c r="AB101" s="81"/>
      <c r="AC101" s="21"/>
      <c r="AD101" s="442" t="str">
        <f t="shared" si="47"/>
        <v/>
      </c>
      <c r="AE101" s="443" t="str">
        <f t="shared" si="48"/>
        <v/>
      </c>
      <c r="AF101" s="443" t="str">
        <f t="shared" si="44"/>
        <v/>
      </c>
      <c r="AG101" s="478">
        <f t="shared" ref="AG101:AG132" si="59">IF(X101="","",($AT101-$AV101)*(-1000))</f>
        <v>2.899999999996794</v>
      </c>
      <c r="AH101" s="443" t="str">
        <f t="shared" ref="AH101:AH132" si="60">IF(Y101="","",($AR101-$AT101)*(-1000))</f>
        <v/>
      </c>
      <c r="AI101" s="441" t="str">
        <f>IF(Z101="","",($AP101-$AR101)*(-1000))</f>
        <v/>
      </c>
      <c r="AJ101" s="655" t="str">
        <f t="shared" si="56"/>
        <v/>
      </c>
      <c r="AM101" s="477" t="str" cm="1">
        <f t="array" ref="AM101">_xlfn.XLOOKUP("?*",U101:AA101&amp;"",$U$3:$AA$3,S101,2,-1)</f>
        <v>R3</v>
      </c>
      <c r="AN101" s="477" cm="1">
        <f t="array" ref="AN101">_xlfn.XLOOKUP("?*",U101:AA101&amp;"",U101:AA101,T101,2,-1)</f>
        <v>106.8322</v>
      </c>
      <c r="AO101" s="477" t="str" cm="1">
        <f t="array" ref="AO101">_xlfn.XLOOKUP("?*",U101:Z101&amp;"",$U$3:$Z$3,S101,2,-1)</f>
        <v>R3</v>
      </c>
      <c r="AP101" s="477" cm="1">
        <f t="array" ref="AP101">_xlfn.XLOOKUP("?*",U101:Z101&amp;"",U101:Z101,T101,2,-1)</f>
        <v>106.8322</v>
      </c>
      <c r="AQ101" s="477" t="str" cm="1">
        <f t="array" ref="AQ101">_xlfn.XLOOKUP("?*",U101:Y101&amp;"",$U$3:$Y$3,S101,2,-1)</f>
        <v>R3</v>
      </c>
      <c r="AR101" s="477" cm="1">
        <f t="array" ref="AR101">_xlfn.XLOOKUP("?*",U101:Y101&amp;"",U101:Y101,T101,2,-1)</f>
        <v>106.8322</v>
      </c>
      <c r="AS101" s="477" t="str" cm="1">
        <f t="array" ref="AS101">_xlfn.XLOOKUP("?*",U101:X101&amp;"",$U$3:$X$3,S101,2,-1)</f>
        <v>R3</v>
      </c>
      <c r="AT101" s="477" cm="1">
        <f t="array" ref="AT101">_xlfn.XLOOKUP("?*",U101:X101&amp;"",U101:X101,T101,2,-1)</f>
        <v>106.8322</v>
      </c>
      <c r="AU101" s="1" t="str">
        <f t="shared" ref="AU101:AU132" si="61">IF(W101="",IF(V101="",IF(U101="",$S101,$U$3),$V$3),$W$3)</f>
        <v>H28</v>
      </c>
      <c r="AV101" s="1">
        <f t="shared" ref="AV101:AV132" si="62">IF(W101="",IF(V101="",IF(U101="",T101,U101),V101),W101)</f>
        <v>106.8351</v>
      </c>
      <c r="AW101" s="1" t="str">
        <f t="shared" ref="AW101:AW132" si="63">IF(V101="",IF(U101="",$S101,$U$3),$V$3)</f>
        <v>H28</v>
      </c>
      <c r="AX101" s="1">
        <f t="shared" ref="AX101:AX132" si="64">IF(V101="",IF(U101="",T101,U101),V101)</f>
        <v>106.8351</v>
      </c>
    </row>
    <row r="102" spans="1:50" ht="17.100000000000001" customHeight="1">
      <c r="A102" s="10">
        <v>508</v>
      </c>
      <c r="B102" s="53" t="s">
        <v>489</v>
      </c>
      <c r="C102" s="10" t="s">
        <v>156</v>
      </c>
      <c r="D102" s="69" t="s">
        <v>687</v>
      </c>
      <c r="E102" s="69" t="s">
        <v>687</v>
      </c>
      <c r="F102" s="70" t="s">
        <v>172</v>
      </c>
      <c r="G102" s="26" t="s">
        <v>9</v>
      </c>
      <c r="H102" s="8" t="s">
        <v>127</v>
      </c>
      <c r="I102" s="8" t="s">
        <v>541</v>
      </c>
      <c r="J102" s="8" t="s">
        <v>141</v>
      </c>
      <c r="K102" s="9" t="s">
        <v>547</v>
      </c>
      <c r="L102" s="30" t="s">
        <v>545</v>
      </c>
      <c r="M102" s="31">
        <v>82.879099999999994</v>
      </c>
      <c r="N102" s="563" t="str" cm="1">
        <f t="array" ref="N102">_xlfn.XLOOKUP("?*",U102:Z102&amp;"",$U$3:$Z$3,S102,2,-1)</f>
        <v>R4</v>
      </c>
      <c r="O102" s="565" cm="1">
        <f t="array" ref="O102">_xlfn.XLOOKUP("?*",U102:Z102&amp;"",U102:Z102,T102,2,-1)</f>
        <v>82.771199999999993</v>
      </c>
      <c r="P102" s="92"/>
      <c r="Q102" s="87"/>
      <c r="R102" s="1"/>
      <c r="S102" s="76" t="s">
        <v>1306</v>
      </c>
      <c r="T102" s="34">
        <v>82.775099999999995</v>
      </c>
      <c r="U102" s="39"/>
      <c r="V102" s="40"/>
      <c r="W102" s="40">
        <v>82.774500000000003</v>
      </c>
      <c r="X102" s="40">
        <v>82.773499999999999</v>
      </c>
      <c r="Y102" s="40">
        <v>82.771199999999993</v>
      </c>
      <c r="Z102" s="40"/>
      <c r="AA102" s="41"/>
      <c r="AB102" s="81"/>
      <c r="AC102" s="21"/>
      <c r="AD102" s="442" t="str">
        <f t="shared" si="47"/>
        <v/>
      </c>
      <c r="AE102" s="443" t="str">
        <f t="shared" si="48"/>
        <v/>
      </c>
      <c r="AF102" s="443">
        <f t="shared" si="44"/>
        <v>0.59999999999149622</v>
      </c>
      <c r="AG102" s="478">
        <f t="shared" si="59"/>
        <v>1.0000000000047748</v>
      </c>
      <c r="AH102" s="443">
        <f t="shared" si="60"/>
        <v>2.3000000000052978</v>
      </c>
      <c r="AI102" s="441" t="str">
        <f t="shared" ref="AI102:AI119" si="65">IF(Z102="","",($AP102-$AR102)*(-1000))</f>
        <v/>
      </c>
      <c r="AJ102" s="655" t="str">
        <f t="shared" si="56"/>
        <v/>
      </c>
      <c r="AM102" s="477" t="str" cm="1">
        <f t="array" ref="AM102">_xlfn.XLOOKUP("?*",U102:AA102&amp;"",$U$3:$AA$3,S102,2,-1)</f>
        <v>R4</v>
      </c>
      <c r="AN102" s="477" cm="1">
        <f t="array" ref="AN102">_xlfn.XLOOKUP("?*",U102:AA102&amp;"",U102:AA102,T102,2,-1)</f>
        <v>82.771199999999993</v>
      </c>
      <c r="AO102" s="477" t="str" cm="1">
        <f t="array" ref="AO102">_xlfn.XLOOKUP("?*",U102:Z102&amp;"",$U$3:$Z$3,S102,2,-1)</f>
        <v>R4</v>
      </c>
      <c r="AP102" s="477" cm="1">
        <f t="array" ref="AP102">_xlfn.XLOOKUP("?*",U102:Z102&amp;"",U102:Z102,T102,2,-1)</f>
        <v>82.771199999999993</v>
      </c>
      <c r="AQ102" s="477" t="str" cm="1">
        <f t="array" ref="AQ102">_xlfn.XLOOKUP("?*",U102:Y102&amp;"",$U$3:$Y$3,S102,2,-1)</f>
        <v>R4</v>
      </c>
      <c r="AR102" s="477" cm="1">
        <f t="array" ref="AR102">_xlfn.XLOOKUP("?*",U102:Y102&amp;"",U102:Y102,T102,2,-1)</f>
        <v>82.771199999999993</v>
      </c>
      <c r="AS102" s="477" t="str" cm="1">
        <f t="array" ref="AS102">_xlfn.XLOOKUP("?*",U102:X102&amp;"",$U$3:$X$3,S102,2,-1)</f>
        <v>R3</v>
      </c>
      <c r="AT102" s="477" cm="1">
        <f t="array" ref="AT102">_xlfn.XLOOKUP("?*",U102:X102&amp;"",U102:X102,T102,2,-1)</f>
        <v>82.773499999999999</v>
      </c>
      <c r="AU102" s="1" t="str">
        <f t="shared" si="61"/>
        <v>R2</v>
      </c>
      <c r="AV102" s="1">
        <f t="shared" si="62"/>
        <v>82.774500000000003</v>
      </c>
      <c r="AW102" s="1" t="str">
        <f t="shared" si="63"/>
        <v>H28</v>
      </c>
      <c r="AX102" s="1">
        <f t="shared" si="64"/>
        <v>82.775099999999995</v>
      </c>
    </row>
    <row r="103" spans="1:50" ht="17.100000000000001" customHeight="1">
      <c r="A103" s="502">
        <v>601</v>
      </c>
      <c r="B103" s="503" t="s">
        <v>1364</v>
      </c>
      <c r="C103" s="502" t="s">
        <v>180</v>
      </c>
      <c r="D103" s="504" t="s">
        <v>640</v>
      </c>
      <c r="E103" s="504" t="s">
        <v>640</v>
      </c>
      <c r="F103" s="484" t="s">
        <v>181</v>
      </c>
      <c r="G103" s="485" t="s">
        <v>9</v>
      </c>
      <c r="H103" s="486" t="s">
        <v>127</v>
      </c>
      <c r="I103" s="486" t="s">
        <v>541</v>
      </c>
      <c r="J103" s="486" t="s">
        <v>141</v>
      </c>
      <c r="K103" s="487" t="s">
        <v>547</v>
      </c>
      <c r="L103" s="30"/>
      <c r="M103" s="31"/>
      <c r="N103" s="563" t="str" cm="1">
        <f t="array" ref="N103">_xlfn.XLOOKUP("?*",U103:Z103&amp;"",$U$3:$Z$3,S103,2,-1)</f>
        <v>-</v>
      </c>
      <c r="O103" s="565" t="str" cm="1">
        <f t="array" ref="O103">_xlfn.XLOOKUP("?*",U103:Z103&amp;"",U103:Z103,T103,2,-1)</f>
        <v>-</v>
      </c>
      <c r="P103" s="92"/>
      <c r="Q103" s="505"/>
      <c r="R103" s="14"/>
      <c r="S103" s="76" t="s">
        <v>1354</v>
      </c>
      <c r="T103" s="488" t="s">
        <v>1354</v>
      </c>
      <c r="U103" s="514"/>
      <c r="V103" s="515"/>
      <c r="W103" s="515"/>
      <c r="X103" s="515"/>
      <c r="Y103" s="515"/>
      <c r="Z103" s="515"/>
      <c r="AA103" s="516"/>
      <c r="AB103" s="81"/>
      <c r="AC103" s="509"/>
      <c r="AD103" s="510" t="str">
        <f t="shared" ref="AD103" si="66">IF(U103="","",-(U103-T103)*1000)</f>
        <v/>
      </c>
      <c r="AE103" s="511" t="str">
        <f t="shared" ref="AE103" si="67">IF(V103="","",IF(U103="",-(V103-T103)*1000,-(V103-U103)*1000))</f>
        <v/>
      </c>
      <c r="AF103" s="511" t="str">
        <f t="shared" ref="AF103:AF134" si="68">IF(W103="","",(AV103-AX103)*(-1000))</f>
        <v/>
      </c>
      <c r="AG103" s="512" t="str">
        <f t="shared" si="59"/>
        <v/>
      </c>
      <c r="AH103" s="443" t="str">
        <f t="shared" si="60"/>
        <v/>
      </c>
      <c r="AI103" s="441" t="str">
        <f t="shared" si="65"/>
        <v/>
      </c>
      <c r="AJ103" s="655" t="str">
        <f t="shared" si="56"/>
        <v/>
      </c>
      <c r="AK103" s="14"/>
      <c r="AL103" s="14"/>
      <c r="AM103" s="477" t="str" cm="1">
        <f t="array" ref="AM103">_xlfn.XLOOKUP("?*",U103:AA103&amp;"",$U$3:$AA$3,S103,2,-1)</f>
        <v>-</v>
      </c>
      <c r="AN103" s="477" t="str" cm="1">
        <f t="array" ref="AN103">_xlfn.XLOOKUP("?*",U103:AA103&amp;"",U103:AA103,T103,2,-1)</f>
        <v>-</v>
      </c>
      <c r="AO103" s="477" t="str" cm="1">
        <f t="array" ref="AO103">_xlfn.XLOOKUP("?*",U103:Z103&amp;"",$U$3:$Z$3,S103,2,-1)</f>
        <v>-</v>
      </c>
      <c r="AP103" s="477" t="str" cm="1">
        <f t="array" ref="AP103">_xlfn.XLOOKUP("?*",U103:Z103&amp;"",U103:Z103,T103,2,-1)</f>
        <v>-</v>
      </c>
      <c r="AQ103" s="477" t="str" cm="1">
        <f t="array" ref="AQ103">_xlfn.XLOOKUP("?*",U103:Y103&amp;"",$U$3:$Y$3,S103,2,-1)</f>
        <v>-</v>
      </c>
      <c r="AR103" s="477" t="str" cm="1">
        <f t="array" ref="AR103">_xlfn.XLOOKUP("?*",U103:Y103&amp;"",U103:Y103,T103,2,-1)</f>
        <v>-</v>
      </c>
      <c r="AS103" s="477" t="str" cm="1">
        <f t="array" ref="AS103">_xlfn.XLOOKUP("?*",U103:X103&amp;"",$U$3:$X$3,S103,2,-1)</f>
        <v>-</v>
      </c>
      <c r="AT103" s="477" t="str" cm="1">
        <f t="array" ref="AT103">_xlfn.XLOOKUP("?*",U103:X103&amp;"",U103:X103,T103,2,-1)</f>
        <v>-</v>
      </c>
      <c r="AU103" s="14" t="str">
        <f t="shared" si="61"/>
        <v>-</v>
      </c>
      <c r="AV103" s="14" t="str">
        <f t="shared" si="62"/>
        <v>-</v>
      </c>
      <c r="AW103" s="14" t="str">
        <f t="shared" si="63"/>
        <v>-</v>
      </c>
      <c r="AX103" s="14" t="str">
        <f t="shared" si="64"/>
        <v>-</v>
      </c>
    </row>
    <row r="104" spans="1:50" ht="17.100000000000001" customHeight="1">
      <c r="A104" s="10">
        <v>602</v>
      </c>
      <c r="B104" s="592">
        <v>7285</v>
      </c>
      <c r="C104" s="10" t="s">
        <v>180</v>
      </c>
      <c r="D104" s="69" t="s">
        <v>1088</v>
      </c>
      <c r="E104" s="69" t="s">
        <v>647</v>
      </c>
      <c r="F104" s="70" t="s">
        <v>1429</v>
      </c>
      <c r="G104" s="26" t="s">
        <v>12</v>
      </c>
      <c r="H104" s="8" t="s">
        <v>31</v>
      </c>
      <c r="I104" s="8" t="s">
        <v>541</v>
      </c>
      <c r="J104" s="8" t="s">
        <v>311</v>
      </c>
      <c r="K104" s="9" t="s">
        <v>263</v>
      </c>
      <c r="L104" s="30" t="s">
        <v>545</v>
      </c>
      <c r="M104" s="31">
        <v>94.949100000000001</v>
      </c>
      <c r="N104" s="563" t="str" cm="1">
        <f t="array" ref="N104">_xlfn.XLOOKUP("?*",U104:Z104&amp;"",$U$3:$Z$3,S104,2,-1)</f>
        <v>R3</v>
      </c>
      <c r="O104" s="565" cm="1">
        <f t="array" ref="O104">_xlfn.XLOOKUP("?*",U104:Z104&amp;"",U104:Z104,T104,2,-1)</f>
        <v>94.852800000000002</v>
      </c>
      <c r="P104" s="92"/>
      <c r="Q104" s="87"/>
      <c r="R104" s="1"/>
      <c r="S104" s="76" t="s">
        <v>1305</v>
      </c>
      <c r="T104" s="34">
        <v>94.853300000000004</v>
      </c>
      <c r="U104" s="39"/>
      <c r="V104" s="40"/>
      <c r="W104" s="40"/>
      <c r="X104" s="40">
        <v>94.852800000000002</v>
      </c>
      <c r="Y104" s="40"/>
      <c r="Z104" s="40"/>
      <c r="AA104" s="41"/>
      <c r="AB104" s="81"/>
      <c r="AC104" s="21"/>
      <c r="AD104" s="442" t="str">
        <f t="shared" si="47"/>
        <v/>
      </c>
      <c r="AE104" s="443" t="str">
        <f t="shared" si="48"/>
        <v/>
      </c>
      <c r="AF104" s="443" t="str">
        <f t="shared" si="68"/>
        <v/>
      </c>
      <c r="AG104" s="478">
        <f t="shared" si="59"/>
        <v>0.50000000000238742</v>
      </c>
      <c r="AH104" s="443" t="str">
        <f t="shared" si="60"/>
        <v/>
      </c>
      <c r="AI104" s="441" t="str">
        <f t="shared" si="65"/>
        <v/>
      </c>
      <c r="AJ104" s="655" t="str">
        <f t="shared" si="56"/>
        <v/>
      </c>
      <c r="AM104" s="477" t="str" cm="1">
        <f t="array" ref="AM104">_xlfn.XLOOKUP("?*",U104:AA104&amp;"",$U$3:$AA$3,S104,2,-1)</f>
        <v>R3</v>
      </c>
      <c r="AN104" s="477" cm="1">
        <f t="array" ref="AN104">_xlfn.XLOOKUP("?*",U104:AA104&amp;"",U104:AA104,T104,2,-1)</f>
        <v>94.852800000000002</v>
      </c>
      <c r="AO104" s="477" t="str" cm="1">
        <f t="array" ref="AO104">_xlfn.XLOOKUP("?*",U104:Z104&amp;"",$U$3:$Z$3,S104,2,-1)</f>
        <v>R3</v>
      </c>
      <c r="AP104" s="477" cm="1">
        <f t="array" ref="AP104">_xlfn.XLOOKUP("?*",U104:Z104&amp;"",U104:Z104,T104,2,-1)</f>
        <v>94.852800000000002</v>
      </c>
      <c r="AQ104" s="477" t="str" cm="1">
        <f t="array" ref="AQ104">_xlfn.XLOOKUP("?*",U104:Y104&amp;"",$U$3:$Y$3,S104,2,-1)</f>
        <v>R3</v>
      </c>
      <c r="AR104" s="477" cm="1">
        <f t="array" ref="AR104">_xlfn.XLOOKUP("?*",U104:Y104&amp;"",U104:Y104,T104,2,-1)</f>
        <v>94.852800000000002</v>
      </c>
      <c r="AS104" s="477" t="str" cm="1">
        <f t="array" ref="AS104">_xlfn.XLOOKUP("?*",U104:X104&amp;"",$U$3:$X$3,S104,2,-1)</f>
        <v>R3</v>
      </c>
      <c r="AT104" s="477" cm="1">
        <f t="array" ref="AT104">_xlfn.XLOOKUP("?*",U104:X104&amp;"",U104:X104,T104,2,-1)</f>
        <v>94.852800000000002</v>
      </c>
      <c r="AU104" s="1" t="str">
        <f t="shared" si="61"/>
        <v>H28</v>
      </c>
      <c r="AV104" s="1">
        <f t="shared" si="62"/>
        <v>94.853300000000004</v>
      </c>
      <c r="AW104" s="1" t="str">
        <f t="shared" si="63"/>
        <v>H28</v>
      </c>
      <c r="AX104" s="1">
        <f t="shared" si="64"/>
        <v>94.853300000000004</v>
      </c>
    </row>
    <row r="105" spans="1:50" ht="17.100000000000001" customHeight="1">
      <c r="A105" s="10">
        <v>603</v>
      </c>
      <c r="B105" s="592">
        <v>7286</v>
      </c>
      <c r="C105" s="10" t="s">
        <v>180</v>
      </c>
      <c r="D105" s="69" t="s">
        <v>1094</v>
      </c>
      <c r="E105" s="69" t="s">
        <v>1468</v>
      </c>
      <c r="F105" s="70" t="s">
        <v>185</v>
      </c>
      <c r="G105" s="26" t="s">
        <v>12</v>
      </c>
      <c r="H105" s="8" t="s">
        <v>31</v>
      </c>
      <c r="I105" s="8" t="s">
        <v>541</v>
      </c>
      <c r="J105" s="8" t="s">
        <v>308</v>
      </c>
      <c r="K105" s="9" t="s">
        <v>263</v>
      </c>
      <c r="L105" s="30" t="s">
        <v>545</v>
      </c>
      <c r="M105" s="31">
        <v>75.955399999999997</v>
      </c>
      <c r="N105" s="563" t="str" cm="1">
        <f t="array" ref="N105">_xlfn.XLOOKUP("?*",U105:Z105&amp;"",$U$3:$Z$3,S105,2,-1)</f>
        <v>R3</v>
      </c>
      <c r="O105" s="565" cm="1">
        <f t="array" ref="O105">_xlfn.XLOOKUP("?*",U105:Z105&amp;"",U105:Z105,T105,2,-1)</f>
        <v>75.858500000000006</v>
      </c>
      <c r="P105" s="92"/>
      <c r="Q105" s="87"/>
      <c r="R105" s="1"/>
      <c r="S105" s="76" t="s">
        <v>1306</v>
      </c>
      <c r="T105" s="34">
        <v>75.859800000000007</v>
      </c>
      <c r="U105" s="39"/>
      <c r="V105" s="40"/>
      <c r="W105" s="40"/>
      <c r="X105" s="40">
        <v>75.858500000000006</v>
      </c>
      <c r="Y105" s="40"/>
      <c r="Z105" s="40"/>
      <c r="AA105" s="41"/>
      <c r="AB105" s="81"/>
      <c r="AC105" s="21"/>
      <c r="AD105" s="442" t="str">
        <f t="shared" si="47"/>
        <v/>
      </c>
      <c r="AE105" s="443" t="str">
        <f t="shared" si="48"/>
        <v/>
      </c>
      <c r="AF105" s="443" t="str">
        <f t="shared" si="68"/>
        <v/>
      </c>
      <c r="AG105" s="478">
        <f t="shared" si="59"/>
        <v>1.300000000000523</v>
      </c>
      <c r="AH105" s="443" t="str">
        <f t="shared" si="60"/>
        <v/>
      </c>
      <c r="AI105" s="441" t="str">
        <f t="shared" si="65"/>
        <v/>
      </c>
      <c r="AJ105" s="655" t="str">
        <f t="shared" si="56"/>
        <v/>
      </c>
      <c r="AM105" s="477" t="str" cm="1">
        <f t="array" ref="AM105">_xlfn.XLOOKUP("?*",U105:AA105&amp;"",$U$3:$AA$3,S105,2,-1)</f>
        <v>R3</v>
      </c>
      <c r="AN105" s="477" cm="1">
        <f t="array" ref="AN105">_xlfn.XLOOKUP("?*",U105:AA105&amp;"",U105:AA105,T105,2,-1)</f>
        <v>75.858500000000006</v>
      </c>
      <c r="AO105" s="477" t="str" cm="1">
        <f t="array" ref="AO105">_xlfn.XLOOKUP("?*",U105:Z105&amp;"",$U$3:$Z$3,S105,2,-1)</f>
        <v>R3</v>
      </c>
      <c r="AP105" s="477" cm="1">
        <f t="array" ref="AP105">_xlfn.XLOOKUP("?*",U105:Z105&amp;"",U105:Z105,T105,2,-1)</f>
        <v>75.858500000000006</v>
      </c>
      <c r="AQ105" s="477" t="str" cm="1">
        <f t="array" ref="AQ105">_xlfn.XLOOKUP("?*",U105:Y105&amp;"",$U$3:$Y$3,S105,2,-1)</f>
        <v>R3</v>
      </c>
      <c r="AR105" s="477" cm="1">
        <f t="array" ref="AR105">_xlfn.XLOOKUP("?*",U105:Y105&amp;"",U105:Y105,T105,2,-1)</f>
        <v>75.858500000000006</v>
      </c>
      <c r="AS105" s="477" t="str" cm="1">
        <f t="array" ref="AS105">_xlfn.XLOOKUP("?*",U105:X105&amp;"",$U$3:$X$3,S105,2,-1)</f>
        <v>R3</v>
      </c>
      <c r="AT105" s="477" cm="1">
        <f t="array" ref="AT105">_xlfn.XLOOKUP("?*",U105:X105&amp;"",U105:X105,T105,2,-1)</f>
        <v>75.858500000000006</v>
      </c>
      <c r="AU105" s="1" t="str">
        <f t="shared" si="61"/>
        <v>H28</v>
      </c>
      <c r="AV105" s="1">
        <f t="shared" si="62"/>
        <v>75.859800000000007</v>
      </c>
      <c r="AW105" s="1" t="str">
        <f t="shared" si="63"/>
        <v>H28</v>
      </c>
      <c r="AX105" s="1">
        <f t="shared" si="64"/>
        <v>75.859800000000007</v>
      </c>
    </row>
    <row r="106" spans="1:50" ht="17.100000000000001" customHeight="1">
      <c r="A106" s="10">
        <v>701</v>
      </c>
      <c r="B106" s="53" t="s">
        <v>365</v>
      </c>
      <c r="C106" s="10" t="s">
        <v>186</v>
      </c>
      <c r="D106" s="69" t="s">
        <v>701</v>
      </c>
      <c r="E106" s="69" t="s">
        <v>701</v>
      </c>
      <c r="F106" s="70" t="s">
        <v>187</v>
      </c>
      <c r="G106" s="26" t="s">
        <v>9</v>
      </c>
      <c r="H106" s="8" t="s">
        <v>19</v>
      </c>
      <c r="I106" s="8" t="s">
        <v>541</v>
      </c>
      <c r="J106" s="8" t="s">
        <v>308</v>
      </c>
      <c r="K106" s="9" t="s">
        <v>263</v>
      </c>
      <c r="L106" s="30" t="s">
        <v>543</v>
      </c>
      <c r="M106" s="31">
        <v>10.667</v>
      </c>
      <c r="N106" s="563" t="str" cm="1">
        <f t="array" ref="N106">_xlfn.XLOOKUP("?*",U106:Z106&amp;"",$U$3:$Z$3,S106,2,-1)</f>
        <v>R5</v>
      </c>
      <c r="O106" s="565" cm="1">
        <f t="array" ref="O106">_xlfn.XLOOKUP("?*",U106:Z106&amp;"",U106:Z106,T106,2,-1)</f>
        <v>10.551</v>
      </c>
      <c r="P106" s="92"/>
      <c r="Q106" s="88"/>
      <c r="R106" s="1"/>
      <c r="S106" s="76" t="s">
        <v>1296</v>
      </c>
      <c r="T106" s="35">
        <v>10.5572</v>
      </c>
      <c r="U106" s="42">
        <v>10.557499999999999</v>
      </c>
      <c r="V106" s="43">
        <v>10.5543</v>
      </c>
      <c r="W106" s="43">
        <v>10.5562</v>
      </c>
      <c r="X106" s="43"/>
      <c r="Y106" s="43">
        <v>10.5533</v>
      </c>
      <c r="Z106" s="43">
        <v>10.551</v>
      </c>
      <c r="AA106" s="44"/>
      <c r="AB106" s="81"/>
      <c r="AC106" s="22"/>
      <c r="AD106" s="444">
        <f t="shared" si="47"/>
        <v>-0.29999999999930083</v>
      </c>
      <c r="AE106" s="441">
        <f t="shared" si="48"/>
        <v>3.1999999999996476</v>
      </c>
      <c r="AF106" s="441">
        <f t="shared" si="68"/>
        <v>-1.900000000000901</v>
      </c>
      <c r="AG106" s="478" t="str">
        <f t="shared" si="59"/>
        <v/>
      </c>
      <c r="AH106" s="443">
        <f t="shared" si="60"/>
        <v>2.9000000000003467</v>
      </c>
      <c r="AI106" s="441">
        <f t="shared" si="65"/>
        <v>2.2999999999999687</v>
      </c>
      <c r="AJ106" s="655" t="str">
        <f t="shared" si="56"/>
        <v/>
      </c>
      <c r="AM106" s="477" t="str" cm="1">
        <f t="array" ref="AM106">_xlfn.XLOOKUP("?*",U106:AA106&amp;"",$U$3:$AA$3,S106,2,-1)</f>
        <v>R5</v>
      </c>
      <c r="AN106" s="477" cm="1">
        <f t="array" ref="AN106">_xlfn.XLOOKUP("?*",U106:AA106&amp;"",U106:AA106,T106,2,-1)</f>
        <v>10.551</v>
      </c>
      <c r="AO106" s="477" t="str" cm="1">
        <f t="array" ref="AO106">_xlfn.XLOOKUP("?*",U106:Z106&amp;"",$U$3:$Z$3,S106,2,-1)</f>
        <v>R5</v>
      </c>
      <c r="AP106" s="477" cm="1">
        <f t="array" ref="AP106">_xlfn.XLOOKUP("?*",U106:Z106&amp;"",U106:Z106,T106,2,-1)</f>
        <v>10.551</v>
      </c>
      <c r="AQ106" s="477" t="str" cm="1">
        <f t="array" ref="AQ106">_xlfn.XLOOKUP("?*",U106:Y106&amp;"",$U$3:$Y$3,S106,2,-1)</f>
        <v>R4</v>
      </c>
      <c r="AR106" s="477" cm="1">
        <f t="array" ref="AR106">_xlfn.XLOOKUP("?*",U106:Y106&amp;"",U106:Y106,T106,2,-1)</f>
        <v>10.5533</v>
      </c>
      <c r="AS106" s="477" t="str" cm="1">
        <f t="array" ref="AS106">_xlfn.XLOOKUP("?*",U106:X106&amp;"",$U$3:$X$3,S106,2,-1)</f>
        <v>R2</v>
      </c>
      <c r="AT106" s="477" cm="1">
        <f t="array" ref="AT106">_xlfn.XLOOKUP("?*",U106:X106&amp;"",U106:X106,T106,2,-1)</f>
        <v>10.5562</v>
      </c>
      <c r="AU106" s="1" t="str">
        <f t="shared" si="61"/>
        <v>R2</v>
      </c>
      <c r="AV106" s="1">
        <f t="shared" si="62"/>
        <v>10.5562</v>
      </c>
      <c r="AW106" s="1" t="str">
        <f t="shared" si="63"/>
        <v>R1</v>
      </c>
      <c r="AX106" s="1">
        <f t="shared" si="64"/>
        <v>10.5543</v>
      </c>
    </row>
    <row r="107" spans="1:50" ht="17.100000000000001" customHeight="1">
      <c r="A107" s="10">
        <v>702</v>
      </c>
      <c r="B107" s="53" t="s">
        <v>364</v>
      </c>
      <c r="C107" s="10" t="s">
        <v>186</v>
      </c>
      <c r="D107" s="69" t="s">
        <v>561</v>
      </c>
      <c r="E107" s="69" t="s">
        <v>561</v>
      </c>
      <c r="F107" s="70" t="s">
        <v>1430</v>
      </c>
      <c r="G107" s="26" t="s">
        <v>9</v>
      </c>
      <c r="H107" s="8" t="s">
        <v>19</v>
      </c>
      <c r="I107" s="8" t="s">
        <v>541</v>
      </c>
      <c r="J107" s="8" t="s">
        <v>54</v>
      </c>
      <c r="K107" s="9" t="s">
        <v>264</v>
      </c>
      <c r="L107" s="30" t="s">
        <v>543</v>
      </c>
      <c r="M107" s="31">
        <v>6.4314999999999998</v>
      </c>
      <c r="N107" s="563" t="str" cm="1">
        <f t="array" ref="N107">_xlfn.XLOOKUP("?*",U107:Z107&amp;"",$U$3:$Z$3,S107,2,-1)</f>
        <v>R5</v>
      </c>
      <c r="O107" s="565" cm="1">
        <f t="array" ref="O107">_xlfn.XLOOKUP("?*",U107:Z107&amp;"",U107:Z107,T107,2,-1)</f>
        <v>6.31</v>
      </c>
      <c r="P107" s="92"/>
      <c r="Q107" s="88"/>
      <c r="R107" s="1"/>
      <c r="S107" s="76" t="s">
        <v>1296</v>
      </c>
      <c r="T107" s="35">
        <v>6.3171999999999997</v>
      </c>
      <c r="U107" s="42">
        <v>6.3175999999999997</v>
      </c>
      <c r="V107" s="43">
        <v>6.3174000000000001</v>
      </c>
      <c r="W107" s="43">
        <v>6.3170000000000002</v>
      </c>
      <c r="X107" s="43">
        <v>6.3116000000000003</v>
      </c>
      <c r="Y107" s="43">
        <v>6.3129</v>
      </c>
      <c r="Z107" s="43">
        <v>6.31</v>
      </c>
      <c r="AA107" s="44"/>
      <c r="AB107" s="81"/>
      <c r="AC107" s="22"/>
      <c r="AD107" s="444">
        <f t="shared" si="47"/>
        <v>-0.39999999999995595</v>
      </c>
      <c r="AE107" s="441">
        <f t="shared" si="48"/>
        <v>0.19999999999953388</v>
      </c>
      <c r="AF107" s="441">
        <f t="shared" si="68"/>
        <v>0.39999999999995595</v>
      </c>
      <c r="AG107" s="478">
        <f t="shared" si="59"/>
        <v>5.3999999999998494</v>
      </c>
      <c r="AH107" s="443">
        <f t="shared" si="60"/>
        <v>-1.2999999999996348</v>
      </c>
      <c r="AI107" s="441">
        <f t="shared" si="65"/>
        <v>2.9000000000003467</v>
      </c>
      <c r="AJ107" s="655" t="str">
        <f t="shared" si="56"/>
        <v/>
      </c>
      <c r="AM107" s="477" t="str" cm="1">
        <f t="array" ref="AM107">_xlfn.XLOOKUP("?*",U107:AA107&amp;"",$U$3:$AA$3,S107,2,-1)</f>
        <v>R5</v>
      </c>
      <c r="AN107" s="477" cm="1">
        <f t="array" ref="AN107">_xlfn.XLOOKUP("?*",U107:AA107&amp;"",U107:AA107,T107,2,-1)</f>
        <v>6.31</v>
      </c>
      <c r="AO107" s="477" t="str" cm="1">
        <f t="array" ref="AO107">_xlfn.XLOOKUP("?*",U107:Z107&amp;"",$U$3:$Z$3,S107,2,-1)</f>
        <v>R5</v>
      </c>
      <c r="AP107" s="477" cm="1">
        <f t="array" ref="AP107">_xlfn.XLOOKUP("?*",U107:Z107&amp;"",U107:Z107,T107,2,-1)</f>
        <v>6.31</v>
      </c>
      <c r="AQ107" s="477" t="str" cm="1">
        <f t="array" ref="AQ107">_xlfn.XLOOKUP("?*",U107:Y107&amp;"",$U$3:$Y$3,S107,2,-1)</f>
        <v>R4</v>
      </c>
      <c r="AR107" s="477" cm="1">
        <f t="array" ref="AR107">_xlfn.XLOOKUP("?*",U107:Y107&amp;"",U107:Y107,T107,2,-1)</f>
        <v>6.3129</v>
      </c>
      <c r="AS107" s="477" t="str" cm="1">
        <f t="array" ref="AS107">_xlfn.XLOOKUP("?*",U107:X107&amp;"",$U$3:$X$3,S107,2,-1)</f>
        <v>R3</v>
      </c>
      <c r="AT107" s="477" cm="1">
        <f t="array" ref="AT107">_xlfn.XLOOKUP("?*",U107:X107&amp;"",U107:X107,T107,2,-1)</f>
        <v>6.3116000000000003</v>
      </c>
      <c r="AU107" s="1" t="str">
        <f t="shared" si="61"/>
        <v>R2</v>
      </c>
      <c r="AV107" s="1">
        <f t="shared" si="62"/>
        <v>6.3170000000000002</v>
      </c>
      <c r="AW107" s="1" t="str">
        <f t="shared" si="63"/>
        <v>R1</v>
      </c>
      <c r="AX107" s="1">
        <f t="shared" si="64"/>
        <v>6.3174000000000001</v>
      </c>
    </row>
    <row r="108" spans="1:50" ht="17.100000000000001" customHeight="1">
      <c r="A108" s="502">
        <v>703</v>
      </c>
      <c r="B108" s="594">
        <v>7406</v>
      </c>
      <c r="C108" s="502" t="s">
        <v>186</v>
      </c>
      <c r="D108" s="504" t="s">
        <v>671</v>
      </c>
      <c r="E108" s="504" t="s">
        <v>671</v>
      </c>
      <c r="F108" s="484" t="s">
        <v>299</v>
      </c>
      <c r="G108" s="485" t="s">
        <v>12</v>
      </c>
      <c r="H108" s="486" t="s">
        <v>19</v>
      </c>
      <c r="I108" s="486" t="s">
        <v>541</v>
      </c>
      <c r="J108" s="486" t="s">
        <v>539</v>
      </c>
      <c r="K108" s="487" t="s">
        <v>263</v>
      </c>
      <c r="L108" s="30"/>
      <c r="M108" s="31"/>
      <c r="N108" s="563" t="str" cm="1">
        <f t="array" ref="N108">_xlfn.XLOOKUP("?*",U108:Z108&amp;"",$U$3:$Z$3,S108,2,-1)</f>
        <v>-</v>
      </c>
      <c r="O108" s="565" t="str" cm="1">
        <f t="array" ref="O108">_xlfn.XLOOKUP("?*",U108:Z108&amp;"",U108:Z108,T108,2,-1)</f>
        <v>-</v>
      </c>
      <c r="P108" s="92"/>
      <c r="Q108" s="517"/>
      <c r="R108" s="14"/>
      <c r="S108" s="76" t="s">
        <v>1354</v>
      </c>
      <c r="T108" s="518" t="s">
        <v>1354</v>
      </c>
      <c r="U108" s="519"/>
      <c r="V108" s="520"/>
      <c r="W108" s="520"/>
      <c r="X108" s="520"/>
      <c r="Y108" s="520"/>
      <c r="Z108" s="520"/>
      <c r="AA108" s="521"/>
      <c r="AB108" s="81"/>
      <c r="AC108" s="522"/>
      <c r="AD108" s="523" t="str">
        <f t="shared" ref="AD108" si="69">IF(U108="","",-(U108-T108)*1000)</f>
        <v/>
      </c>
      <c r="AE108" s="513" t="str">
        <f t="shared" ref="AE108" si="70">IF(V108="","",IF(U108="",-(V108-T108)*1000,-(V108-U108)*1000))</f>
        <v/>
      </c>
      <c r="AF108" s="513" t="str">
        <f t="shared" si="68"/>
        <v/>
      </c>
      <c r="AG108" s="512" t="str">
        <f t="shared" si="59"/>
        <v/>
      </c>
      <c r="AH108" s="443" t="str">
        <f t="shared" si="60"/>
        <v/>
      </c>
      <c r="AI108" s="441" t="str">
        <f t="shared" si="65"/>
        <v/>
      </c>
      <c r="AJ108" s="655" t="str">
        <f t="shared" si="56"/>
        <v/>
      </c>
      <c r="AK108" s="14"/>
      <c r="AL108" s="14"/>
      <c r="AM108" s="477" t="str" cm="1">
        <f t="array" ref="AM108">_xlfn.XLOOKUP("?*",U108:AA108&amp;"",$U$3:$AA$3,S108,2,-1)</f>
        <v>-</v>
      </c>
      <c r="AN108" s="477" t="str" cm="1">
        <f t="array" ref="AN108">_xlfn.XLOOKUP("?*",U108:AA108&amp;"",U108:AA108,T108,2,-1)</f>
        <v>-</v>
      </c>
      <c r="AO108" s="477" t="str" cm="1">
        <f t="array" ref="AO108">_xlfn.XLOOKUP("?*",U108:Z108&amp;"",$U$3:$Z$3,S108,2,-1)</f>
        <v>-</v>
      </c>
      <c r="AP108" s="477" t="str" cm="1">
        <f t="array" ref="AP108">_xlfn.XLOOKUP("?*",U108:Z108&amp;"",U108:Z108,T108,2,-1)</f>
        <v>-</v>
      </c>
      <c r="AQ108" s="477" t="str" cm="1">
        <f t="array" ref="AQ108">_xlfn.XLOOKUP("?*",U108:Y108&amp;"",$U$3:$Y$3,S108,2,-1)</f>
        <v>-</v>
      </c>
      <c r="AR108" s="477" t="str" cm="1">
        <f t="array" ref="AR108">_xlfn.XLOOKUP("?*",U108:Y108&amp;"",U108:Y108,T108,2,-1)</f>
        <v>-</v>
      </c>
      <c r="AS108" s="477" t="str" cm="1">
        <f t="array" ref="AS108">_xlfn.XLOOKUP("?*",U108:X108&amp;"",$U$3:$X$3,S108,2,-1)</f>
        <v>-</v>
      </c>
      <c r="AT108" s="477" t="str" cm="1">
        <f t="array" ref="AT108">_xlfn.XLOOKUP("?*",U108:X108&amp;"",U108:X108,T108,2,-1)</f>
        <v>-</v>
      </c>
      <c r="AU108" s="14" t="str">
        <f t="shared" si="61"/>
        <v>-</v>
      </c>
      <c r="AV108" s="14" t="str">
        <f t="shared" si="62"/>
        <v>-</v>
      </c>
      <c r="AW108" s="14" t="str">
        <f t="shared" si="63"/>
        <v>-</v>
      </c>
      <c r="AX108" s="14" t="str">
        <f t="shared" si="64"/>
        <v>-</v>
      </c>
    </row>
    <row r="109" spans="1:50" ht="17.100000000000001" customHeight="1">
      <c r="A109" s="10">
        <v>704</v>
      </c>
      <c r="B109" s="592">
        <v>7407</v>
      </c>
      <c r="C109" s="10" t="s">
        <v>186</v>
      </c>
      <c r="D109" s="69" t="s">
        <v>1089</v>
      </c>
      <c r="E109" s="69" t="s">
        <v>648</v>
      </c>
      <c r="F109" s="70" t="s">
        <v>1431</v>
      </c>
      <c r="G109" s="26" t="s">
        <v>12</v>
      </c>
      <c r="H109" s="8" t="s">
        <v>19</v>
      </c>
      <c r="I109" s="8" t="s">
        <v>541</v>
      </c>
      <c r="J109" s="8" t="s">
        <v>11</v>
      </c>
      <c r="K109" s="9" t="s">
        <v>248</v>
      </c>
      <c r="L109" s="30" t="s">
        <v>543</v>
      </c>
      <c r="M109" s="31">
        <v>33.762100000000004</v>
      </c>
      <c r="N109" s="563" t="str" cm="1">
        <f t="array" ref="N109">_xlfn.XLOOKUP("?*",U109:Z109&amp;"",$U$3:$Z$3,S109,2,-1)</f>
        <v>R5</v>
      </c>
      <c r="O109" s="565" cm="1">
        <f t="array" ref="O109">_xlfn.XLOOKUP("?*",U109:Z109&amp;"",U109:Z109,T109,2,-1)</f>
        <v>33.664900000000003</v>
      </c>
      <c r="P109" s="92"/>
      <c r="Q109" s="88"/>
      <c r="R109" s="1"/>
      <c r="S109" s="76" t="s">
        <v>1299</v>
      </c>
      <c r="T109" s="35">
        <v>33.665399999999998</v>
      </c>
      <c r="U109" s="42">
        <v>33.665799999999997</v>
      </c>
      <c r="V109" s="43">
        <v>33.664900000000003</v>
      </c>
      <c r="W109" s="43">
        <v>33.6646</v>
      </c>
      <c r="X109" s="43">
        <v>33.664700000000003</v>
      </c>
      <c r="Y109" s="43">
        <v>33.665199999999999</v>
      </c>
      <c r="Z109" s="43">
        <v>33.664900000000003</v>
      </c>
      <c r="AA109" s="44">
        <v>33.663899999999998</v>
      </c>
      <c r="AB109" s="81"/>
      <c r="AC109" s="22"/>
      <c r="AD109" s="444">
        <f t="shared" si="47"/>
        <v>-0.39999999999906777</v>
      </c>
      <c r="AE109" s="441">
        <f t="shared" si="48"/>
        <v>0.89999999999434976</v>
      </c>
      <c r="AF109" s="441">
        <f t="shared" si="68"/>
        <v>0.30000000000285354</v>
      </c>
      <c r="AG109" s="478">
        <f t="shared" si="59"/>
        <v>-0.10000000000331966</v>
      </c>
      <c r="AH109" s="443">
        <f t="shared" si="60"/>
        <v>-0.499999999995282</v>
      </c>
      <c r="AI109" s="441">
        <f t="shared" si="65"/>
        <v>0.29999999999574811</v>
      </c>
      <c r="AJ109" s="655">
        <f t="shared" si="56"/>
        <v>1.0000000000047748</v>
      </c>
      <c r="AM109" s="477" t="str" cm="1">
        <f t="array" ref="AM109">_xlfn.XLOOKUP("?*",U109:AA109&amp;"",$U$3:$AA$3,S109,2,-1)</f>
        <v>R6</v>
      </c>
      <c r="AN109" s="477" cm="1">
        <f t="array" ref="AN109">_xlfn.XLOOKUP("?*",U109:AA109&amp;"",U109:AA109,T109,2,-1)</f>
        <v>33.663899999999998</v>
      </c>
      <c r="AO109" s="477" t="str" cm="1">
        <f t="array" ref="AO109">_xlfn.XLOOKUP("?*",U109:Z109&amp;"",$U$3:$Z$3,S109,2,-1)</f>
        <v>R5</v>
      </c>
      <c r="AP109" s="477" cm="1">
        <f t="array" ref="AP109">_xlfn.XLOOKUP("?*",U109:Z109&amp;"",U109:Z109,T109,2,-1)</f>
        <v>33.664900000000003</v>
      </c>
      <c r="AQ109" s="477" t="str" cm="1">
        <f t="array" ref="AQ109">_xlfn.XLOOKUP("?*",U109:Y109&amp;"",$U$3:$Y$3,S109,2,-1)</f>
        <v>R4</v>
      </c>
      <c r="AR109" s="477" cm="1">
        <f t="array" ref="AR109">_xlfn.XLOOKUP("?*",U109:Y109&amp;"",U109:Y109,T109,2,-1)</f>
        <v>33.665199999999999</v>
      </c>
      <c r="AS109" s="477" t="str" cm="1">
        <f t="array" ref="AS109">_xlfn.XLOOKUP("?*",U109:X109&amp;"",$U$3:$X$3,S109,2,-1)</f>
        <v>R3</v>
      </c>
      <c r="AT109" s="477" cm="1">
        <f t="array" ref="AT109">_xlfn.XLOOKUP("?*",U109:X109&amp;"",U109:X109,T109,2,-1)</f>
        <v>33.664700000000003</v>
      </c>
      <c r="AU109" s="1" t="str">
        <f t="shared" si="61"/>
        <v>R2</v>
      </c>
      <c r="AV109" s="1">
        <f t="shared" si="62"/>
        <v>33.6646</v>
      </c>
      <c r="AW109" s="1" t="str">
        <f t="shared" si="63"/>
        <v>R1</v>
      </c>
      <c r="AX109" s="1">
        <f t="shared" si="64"/>
        <v>33.664900000000003</v>
      </c>
    </row>
    <row r="110" spans="1:50" ht="17.100000000000001" customHeight="1">
      <c r="A110" s="10">
        <v>705</v>
      </c>
      <c r="B110" s="53" t="s">
        <v>392</v>
      </c>
      <c r="C110" s="10" t="s">
        <v>186</v>
      </c>
      <c r="D110" s="69" t="s">
        <v>702</v>
      </c>
      <c r="E110" s="69" t="s">
        <v>702</v>
      </c>
      <c r="F110" s="70" t="s">
        <v>190</v>
      </c>
      <c r="G110" s="26" t="s">
        <v>12</v>
      </c>
      <c r="H110" s="8" t="s">
        <v>19</v>
      </c>
      <c r="I110" s="8" t="s">
        <v>541</v>
      </c>
      <c r="J110" s="8" t="s">
        <v>11</v>
      </c>
      <c r="K110" s="9" t="s">
        <v>248</v>
      </c>
      <c r="L110" s="30" t="s">
        <v>543</v>
      </c>
      <c r="M110" s="31">
        <v>26.918900000000001</v>
      </c>
      <c r="N110" s="563" t="str" cm="1">
        <f t="array" ref="N110">_xlfn.XLOOKUP("?*",U110:Z110&amp;"",$U$3:$Z$3,S110,2,-1)</f>
        <v>R5</v>
      </c>
      <c r="O110" s="565" cm="1">
        <f t="array" ref="O110">_xlfn.XLOOKUP("?*",U110:Z110&amp;"",U110:Z110,T110,2,-1)</f>
        <v>26.8246</v>
      </c>
      <c r="P110" s="92"/>
      <c r="Q110" s="88"/>
      <c r="R110" s="1"/>
      <c r="S110" s="76" t="s">
        <v>1299</v>
      </c>
      <c r="T110" s="35">
        <v>26.8247</v>
      </c>
      <c r="U110" s="42">
        <v>26.826000000000001</v>
      </c>
      <c r="V110" s="43">
        <v>26.825099999999999</v>
      </c>
      <c r="W110" s="43">
        <v>26.8249</v>
      </c>
      <c r="X110" s="43">
        <v>26.825700000000001</v>
      </c>
      <c r="Y110" s="43">
        <v>26.825099999999999</v>
      </c>
      <c r="Z110" s="43">
        <v>26.8246</v>
      </c>
      <c r="AA110" s="44"/>
      <c r="AB110" s="81"/>
      <c r="AC110" s="22"/>
      <c r="AD110" s="444">
        <f t="shared" si="47"/>
        <v>-1.300000000000523</v>
      </c>
      <c r="AE110" s="441">
        <f t="shared" si="48"/>
        <v>0.90000000000145519</v>
      </c>
      <c r="AF110" s="441">
        <f t="shared" si="68"/>
        <v>0.19999999999953388</v>
      </c>
      <c r="AG110" s="478">
        <f t="shared" si="59"/>
        <v>-0.80000000000168825</v>
      </c>
      <c r="AH110" s="443">
        <f t="shared" si="60"/>
        <v>0.60000000000215437</v>
      </c>
      <c r="AI110" s="441">
        <f t="shared" si="65"/>
        <v>0.49999999999883471</v>
      </c>
      <c r="AJ110" s="655" t="str">
        <f t="shared" si="56"/>
        <v/>
      </c>
      <c r="AM110" s="477" t="str" cm="1">
        <f t="array" ref="AM110">_xlfn.XLOOKUP("?*",U110:AA110&amp;"",$U$3:$AA$3,S110,2,-1)</f>
        <v>R5</v>
      </c>
      <c r="AN110" s="477" cm="1">
        <f t="array" ref="AN110">_xlfn.XLOOKUP("?*",U110:AA110&amp;"",U110:AA110,T110,2,-1)</f>
        <v>26.8246</v>
      </c>
      <c r="AO110" s="477" t="str" cm="1">
        <f t="array" ref="AO110">_xlfn.XLOOKUP("?*",U110:Z110&amp;"",$U$3:$Z$3,S110,2,-1)</f>
        <v>R5</v>
      </c>
      <c r="AP110" s="477" cm="1">
        <f t="array" ref="AP110">_xlfn.XLOOKUP("?*",U110:Z110&amp;"",U110:Z110,T110,2,-1)</f>
        <v>26.8246</v>
      </c>
      <c r="AQ110" s="477" t="str" cm="1">
        <f t="array" ref="AQ110">_xlfn.XLOOKUP("?*",U110:Y110&amp;"",$U$3:$Y$3,S110,2,-1)</f>
        <v>R4</v>
      </c>
      <c r="AR110" s="477" cm="1">
        <f t="array" ref="AR110">_xlfn.XLOOKUP("?*",U110:Y110&amp;"",U110:Y110,T110,2,-1)</f>
        <v>26.825099999999999</v>
      </c>
      <c r="AS110" s="477" t="str" cm="1">
        <f t="array" ref="AS110">_xlfn.XLOOKUP("?*",U110:X110&amp;"",$U$3:$X$3,S110,2,-1)</f>
        <v>R3</v>
      </c>
      <c r="AT110" s="477" cm="1">
        <f t="array" ref="AT110">_xlfn.XLOOKUP("?*",U110:X110&amp;"",U110:X110,T110,2,-1)</f>
        <v>26.825700000000001</v>
      </c>
      <c r="AU110" s="1" t="str">
        <f t="shared" si="61"/>
        <v>R2</v>
      </c>
      <c r="AV110" s="1">
        <f t="shared" si="62"/>
        <v>26.8249</v>
      </c>
      <c r="AW110" s="1" t="str">
        <f t="shared" si="63"/>
        <v>R1</v>
      </c>
      <c r="AX110" s="1">
        <f t="shared" si="64"/>
        <v>26.825099999999999</v>
      </c>
    </row>
    <row r="111" spans="1:50" ht="17.100000000000001" customHeight="1">
      <c r="A111" s="10">
        <v>706</v>
      </c>
      <c r="B111" s="53" t="s">
        <v>389</v>
      </c>
      <c r="C111" s="10" t="s">
        <v>186</v>
      </c>
      <c r="D111" s="69" t="s">
        <v>702</v>
      </c>
      <c r="E111" s="69" t="s">
        <v>702</v>
      </c>
      <c r="F111" s="70" t="s">
        <v>190</v>
      </c>
      <c r="G111" s="26" t="s">
        <v>9</v>
      </c>
      <c r="H111" s="8" t="s">
        <v>19</v>
      </c>
      <c r="I111" s="8" t="s">
        <v>541</v>
      </c>
      <c r="J111" s="8" t="s">
        <v>11</v>
      </c>
      <c r="K111" s="9" t="s">
        <v>248</v>
      </c>
      <c r="L111" s="30" t="s">
        <v>543</v>
      </c>
      <c r="M111" s="31">
        <v>26.586100000000002</v>
      </c>
      <c r="N111" s="563" t="str" cm="1">
        <f t="array" ref="N111">_xlfn.XLOOKUP("?*",U111:Z111&amp;"",$U$3:$Z$3,S111,2,-1)</f>
        <v>R5</v>
      </c>
      <c r="O111" s="565" cm="1">
        <f t="array" ref="O111">_xlfn.XLOOKUP("?*",U111:Z111&amp;"",U111:Z111,T111,2,-1)</f>
        <v>26.4819</v>
      </c>
      <c r="P111" s="92"/>
      <c r="Q111" s="88"/>
      <c r="R111" s="1"/>
      <c r="S111" s="76" t="s">
        <v>1316</v>
      </c>
      <c r="T111" s="35">
        <v>26.485499999999998</v>
      </c>
      <c r="U111" s="42">
        <v>26.4862</v>
      </c>
      <c r="V111" s="43">
        <v>26.4847</v>
      </c>
      <c r="W111" s="43">
        <v>26.483899999999998</v>
      </c>
      <c r="X111" s="43">
        <v>26.484000000000002</v>
      </c>
      <c r="Y111" s="43">
        <v>26.482900000000001</v>
      </c>
      <c r="Z111" s="43">
        <v>26.4819</v>
      </c>
      <c r="AA111" s="44"/>
      <c r="AB111" s="81"/>
      <c r="AC111" s="22"/>
      <c r="AD111" s="444">
        <f t="shared" si="47"/>
        <v>-0.70000000000192131</v>
      </c>
      <c r="AE111" s="441">
        <f t="shared" si="48"/>
        <v>1.5000000000000568</v>
      </c>
      <c r="AF111" s="441">
        <f t="shared" si="68"/>
        <v>0.80000000000168825</v>
      </c>
      <c r="AG111" s="478">
        <f t="shared" si="59"/>
        <v>-0.10000000000331966</v>
      </c>
      <c r="AH111" s="443">
        <f t="shared" si="60"/>
        <v>1.1000000000009891</v>
      </c>
      <c r="AI111" s="441">
        <f t="shared" si="65"/>
        <v>1.0000000000012221</v>
      </c>
      <c r="AJ111" s="655" t="str">
        <f t="shared" si="56"/>
        <v/>
      </c>
      <c r="AM111" s="477" t="str" cm="1">
        <f t="array" ref="AM111">_xlfn.XLOOKUP("?*",U111:AA111&amp;"",$U$3:$AA$3,S111,2,-1)</f>
        <v>R5</v>
      </c>
      <c r="AN111" s="477" cm="1">
        <f t="array" ref="AN111">_xlfn.XLOOKUP("?*",U111:AA111&amp;"",U111:AA111,T111,2,-1)</f>
        <v>26.4819</v>
      </c>
      <c r="AO111" s="477" t="str" cm="1">
        <f t="array" ref="AO111">_xlfn.XLOOKUP("?*",U111:Z111&amp;"",$U$3:$Z$3,S111,2,-1)</f>
        <v>R5</v>
      </c>
      <c r="AP111" s="477" cm="1">
        <f t="array" ref="AP111">_xlfn.XLOOKUP("?*",U111:Z111&amp;"",U111:Z111,T111,2,-1)</f>
        <v>26.4819</v>
      </c>
      <c r="AQ111" s="477" t="str" cm="1">
        <f t="array" ref="AQ111">_xlfn.XLOOKUP("?*",U111:Y111&amp;"",$U$3:$Y$3,S111,2,-1)</f>
        <v>R4</v>
      </c>
      <c r="AR111" s="477" cm="1">
        <f t="array" ref="AR111">_xlfn.XLOOKUP("?*",U111:Y111&amp;"",U111:Y111,T111,2,-1)</f>
        <v>26.482900000000001</v>
      </c>
      <c r="AS111" s="477" t="str" cm="1">
        <f t="array" ref="AS111">_xlfn.XLOOKUP("?*",U111:X111&amp;"",$U$3:$X$3,S111,2,-1)</f>
        <v>R3</v>
      </c>
      <c r="AT111" s="477" cm="1">
        <f t="array" ref="AT111">_xlfn.XLOOKUP("?*",U111:X111&amp;"",U111:X111,T111,2,-1)</f>
        <v>26.484000000000002</v>
      </c>
      <c r="AU111" s="1" t="str">
        <f t="shared" si="61"/>
        <v>R2</v>
      </c>
      <c r="AV111" s="1">
        <f t="shared" si="62"/>
        <v>26.483899999999998</v>
      </c>
      <c r="AW111" s="1" t="str">
        <f t="shared" si="63"/>
        <v>R1</v>
      </c>
      <c r="AX111" s="1">
        <f t="shared" si="64"/>
        <v>26.4847</v>
      </c>
    </row>
    <row r="112" spans="1:50" ht="17.100000000000001" customHeight="1">
      <c r="A112" s="10">
        <v>707</v>
      </c>
      <c r="B112" s="53" t="s">
        <v>386</v>
      </c>
      <c r="C112" s="10" t="s">
        <v>186</v>
      </c>
      <c r="D112" s="69" t="s">
        <v>703</v>
      </c>
      <c r="E112" s="69" t="s">
        <v>703</v>
      </c>
      <c r="F112" s="70" t="s">
        <v>192</v>
      </c>
      <c r="G112" s="26" t="s">
        <v>9</v>
      </c>
      <c r="H112" s="8" t="s">
        <v>19</v>
      </c>
      <c r="I112" s="8" t="s">
        <v>541</v>
      </c>
      <c r="J112" s="8" t="s">
        <v>54</v>
      </c>
      <c r="K112" s="9" t="s">
        <v>249</v>
      </c>
      <c r="L112" s="30" t="s">
        <v>543</v>
      </c>
      <c r="M112" s="31">
        <v>9.160499999999999</v>
      </c>
      <c r="N112" s="563" t="str" cm="1">
        <f t="array" ref="N112">_xlfn.XLOOKUP("?*",U112:Z112&amp;"",$U$3:$Z$3,S112,2,-1)</f>
        <v>R3</v>
      </c>
      <c r="O112" s="565" cm="1">
        <f t="array" ref="O112">_xlfn.XLOOKUP("?*",U112:Z112&amp;"",U112:Z112,T112,2,-1)</f>
        <v>9.0615000000000006</v>
      </c>
      <c r="P112" s="92"/>
      <c r="Q112" s="88"/>
      <c r="R112" s="1"/>
      <c r="S112" s="76" t="s">
        <v>1299</v>
      </c>
      <c r="T112" s="35">
        <v>9.0632999999999999</v>
      </c>
      <c r="U112" s="42">
        <v>9.0617000000000001</v>
      </c>
      <c r="V112" s="43"/>
      <c r="W112" s="43">
        <v>9.0631000000000004</v>
      </c>
      <c r="X112" s="43">
        <v>9.0615000000000006</v>
      </c>
      <c r="Y112" s="43"/>
      <c r="Z112" s="43"/>
      <c r="AA112" s="44"/>
      <c r="AB112" s="81"/>
      <c r="AC112" s="22"/>
      <c r="AD112" s="444">
        <f t="shared" ref="AD112:AD130" si="71">IF(U112="","",-(U112-T112)*1000)</f>
        <v>1.5999999999998238</v>
      </c>
      <c r="AE112" s="441" t="str">
        <f t="shared" ref="AE112:AE145" si="72">IF(V112="","",IF(U112="",-(V112-T112)*1000,-(V112-U112)*1000))</f>
        <v/>
      </c>
      <c r="AF112" s="441">
        <f t="shared" si="68"/>
        <v>-1.4000000000002899</v>
      </c>
      <c r="AG112" s="478">
        <f t="shared" si="59"/>
        <v>1.5999999999998238</v>
      </c>
      <c r="AH112" s="443" t="str">
        <f t="shared" si="60"/>
        <v/>
      </c>
      <c r="AI112" s="441" t="str">
        <f t="shared" si="65"/>
        <v/>
      </c>
      <c r="AJ112" s="655" t="str">
        <f t="shared" si="56"/>
        <v/>
      </c>
      <c r="AM112" s="477" t="str" cm="1">
        <f t="array" ref="AM112">_xlfn.XLOOKUP("?*",U112:AA112&amp;"",$U$3:$AA$3,S112,2,-1)</f>
        <v>R3</v>
      </c>
      <c r="AN112" s="477" cm="1">
        <f t="array" ref="AN112">_xlfn.XLOOKUP("?*",U112:AA112&amp;"",U112:AA112,T112,2,-1)</f>
        <v>9.0615000000000006</v>
      </c>
      <c r="AO112" s="477" t="str" cm="1">
        <f t="array" ref="AO112">_xlfn.XLOOKUP("?*",U112:Z112&amp;"",$U$3:$Z$3,S112,2,-1)</f>
        <v>R3</v>
      </c>
      <c r="AP112" s="477" cm="1">
        <f t="array" ref="AP112">_xlfn.XLOOKUP("?*",U112:Z112&amp;"",U112:Z112,T112,2,-1)</f>
        <v>9.0615000000000006</v>
      </c>
      <c r="AQ112" s="477" t="str" cm="1">
        <f t="array" ref="AQ112">_xlfn.XLOOKUP("?*",U112:Y112&amp;"",$U$3:$Y$3,S112,2,-1)</f>
        <v>R3</v>
      </c>
      <c r="AR112" s="477" cm="1">
        <f t="array" ref="AR112">_xlfn.XLOOKUP("?*",U112:Y112&amp;"",U112:Y112,T112,2,-1)</f>
        <v>9.0615000000000006</v>
      </c>
      <c r="AS112" s="477" t="str" cm="1">
        <f t="array" ref="AS112">_xlfn.XLOOKUP("?*",U112:X112&amp;"",$U$3:$X$3,S112,2,-1)</f>
        <v>R3</v>
      </c>
      <c r="AT112" s="477" cm="1">
        <f t="array" ref="AT112">_xlfn.XLOOKUP("?*",U112:X112&amp;"",U112:X112,T112,2,-1)</f>
        <v>9.0615000000000006</v>
      </c>
      <c r="AU112" s="1" t="str">
        <f t="shared" si="61"/>
        <v>R2</v>
      </c>
      <c r="AV112" s="1">
        <f t="shared" si="62"/>
        <v>9.0631000000000004</v>
      </c>
      <c r="AW112" s="1" t="str">
        <f t="shared" si="63"/>
        <v>H30</v>
      </c>
      <c r="AX112" s="1">
        <f t="shared" si="64"/>
        <v>9.0617000000000001</v>
      </c>
    </row>
    <row r="113" spans="1:50" ht="17.100000000000001" customHeight="1">
      <c r="A113" s="10">
        <v>708</v>
      </c>
      <c r="B113" s="53" t="s">
        <v>387</v>
      </c>
      <c r="C113" s="10" t="s">
        <v>186</v>
      </c>
      <c r="D113" s="69" t="s">
        <v>562</v>
      </c>
      <c r="E113" s="69" t="s">
        <v>562</v>
      </c>
      <c r="F113" s="70" t="s">
        <v>1432</v>
      </c>
      <c r="G113" s="26" t="s">
        <v>9</v>
      </c>
      <c r="H113" s="8" t="s">
        <v>19</v>
      </c>
      <c r="I113" s="8" t="s">
        <v>541</v>
      </c>
      <c r="J113" s="8" t="s">
        <v>539</v>
      </c>
      <c r="K113" s="9" t="s">
        <v>249</v>
      </c>
      <c r="L113" s="30" t="s">
        <v>543</v>
      </c>
      <c r="M113" s="31">
        <v>12.823799999999999</v>
      </c>
      <c r="N113" s="563" t="str" cm="1">
        <f t="array" ref="N113">_xlfn.XLOOKUP("?*",U113:Z113&amp;"",$U$3:$Z$3,S113,2,-1)</f>
        <v>R3</v>
      </c>
      <c r="O113" s="565" cm="1">
        <f t="array" ref="O113">_xlfn.XLOOKUP("?*",U113:Z113&amp;"",U113:Z113,T113,2,-1)</f>
        <v>12.725199999999999</v>
      </c>
      <c r="P113" s="92"/>
      <c r="Q113" s="88"/>
      <c r="R113" s="1"/>
      <c r="S113" s="76" t="s">
        <v>1296</v>
      </c>
      <c r="T113" s="35">
        <v>12.726699999999999</v>
      </c>
      <c r="U113" s="42"/>
      <c r="V113" s="43"/>
      <c r="W113" s="43"/>
      <c r="X113" s="43">
        <v>12.725199999999999</v>
      </c>
      <c r="Y113" s="43"/>
      <c r="Z113" s="43"/>
      <c r="AA113" s="44"/>
      <c r="AB113" s="81"/>
      <c r="AC113" s="22"/>
      <c r="AD113" s="444" t="str">
        <f t="shared" si="71"/>
        <v/>
      </c>
      <c r="AE113" s="441" t="str">
        <f t="shared" si="72"/>
        <v/>
      </c>
      <c r="AF113" s="441" t="str">
        <f t="shared" si="68"/>
        <v/>
      </c>
      <c r="AG113" s="478">
        <f t="shared" si="59"/>
        <v>1.5000000000000568</v>
      </c>
      <c r="AH113" s="443" t="str">
        <f t="shared" si="60"/>
        <v/>
      </c>
      <c r="AI113" s="441" t="str">
        <f t="shared" si="65"/>
        <v/>
      </c>
      <c r="AJ113" s="655" t="str">
        <f t="shared" si="56"/>
        <v/>
      </c>
      <c r="AM113" s="477" t="str" cm="1">
        <f t="array" ref="AM113">_xlfn.XLOOKUP("?*",U113:AA113&amp;"",$U$3:$AA$3,S113,2,-1)</f>
        <v>R3</v>
      </c>
      <c r="AN113" s="477" cm="1">
        <f t="array" ref="AN113">_xlfn.XLOOKUP("?*",U113:AA113&amp;"",U113:AA113,T113,2,-1)</f>
        <v>12.725199999999999</v>
      </c>
      <c r="AO113" s="477" t="str" cm="1">
        <f t="array" ref="AO113">_xlfn.XLOOKUP("?*",U113:Z113&amp;"",$U$3:$Z$3,S113,2,-1)</f>
        <v>R3</v>
      </c>
      <c r="AP113" s="477" cm="1">
        <f t="array" ref="AP113">_xlfn.XLOOKUP("?*",U113:Z113&amp;"",U113:Z113,T113,2,-1)</f>
        <v>12.725199999999999</v>
      </c>
      <c r="AQ113" s="477" t="str" cm="1">
        <f t="array" ref="AQ113">_xlfn.XLOOKUP("?*",U113:Y113&amp;"",$U$3:$Y$3,S113,2,-1)</f>
        <v>R3</v>
      </c>
      <c r="AR113" s="477" cm="1">
        <f t="array" ref="AR113">_xlfn.XLOOKUP("?*",U113:Y113&amp;"",U113:Y113,T113,2,-1)</f>
        <v>12.725199999999999</v>
      </c>
      <c r="AS113" s="477" t="str" cm="1">
        <f t="array" ref="AS113">_xlfn.XLOOKUP("?*",U113:X113&amp;"",$U$3:$X$3,S113,2,-1)</f>
        <v>R3</v>
      </c>
      <c r="AT113" s="477" cm="1">
        <f t="array" ref="AT113">_xlfn.XLOOKUP("?*",U113:X113&amp;"",U113:X113,T113,2,-1)</f>
        <v>12.725199999999999</v>
      </c>
      <c r="AU113" s="1" t="str">
        <f t="shared" si="61"/>
        <v>H29</v>
      </c>
      <c r="AV113" s="1">
        <f t="shared" si="62"/>
        <v>12.726699999999999</v>
      </c>
      <c r="AW113" s="1" t="str">
        <f t="shared" si="63"/>
        <v>H29</v>
      </c>
      <c r="AX113" s="1">
        <f t="shared" si="64"/>
        <v>12.726699999999999</v>
      </c>
    </row>
    <row r="114" spans="1:50" ht="17.100000000000001" customHeight="1">
      <c r="A114" s="10">
        <v>709</v>
      </c>
      <c r="B114" s="592">
        <v>7408</v>
      </c>
      <c r="C114" s="10" t="s">
        <v>186</v>
      </c>
      <c r="D114" s="69" t="s">
        <v>575</v>
      </c>
      <c r="E114" s="69" t="s">
        <v>575</v>
      </c>
      <c r="F114" s="70" t="s">
        <v>195</v>
      </c>
      <c r="G114" s="26" t="s">
        <v>12</v>
      </c>
      <c r="H114" s="8" t="s">
        <v>19</v>
      </c>
      <c r="I114" s="8" t="s">
        <v>541</v>
      </c>
      <c r="J114" s="8" t="s">
        <v>11</v>
      </c>
      <c r="K114" s="9" t="s">
        <v>248</v>
      </c>
      <c r="L114" s="30" t="s">
        <v>545</v>
      </c>
      <c r="M114" s="31">
        <v>23.742899999999999</v>
      </c>
      <c r="N114" s="563" t="str" cm="1">
        <f t="array" ref="N114">_xlfn.XLOOKUP("?*",U114:Z114&amp;"",$U$3:$Z$3,S114,2,-1)</f>
        <v>R5</v>
      </c>
      <c r="O114" s="565" cm="1">
        <f t="array" ref="O114">_xlfn.XLOOKUP("?*",U114:Z114&amp;"",U114:Z114,T114,2,-1)</f>
        <v>23.647600000000001</v>
      </c>
      <c r="P114" s="92"/>
      <c r="Q114" s="87"/>
      <c r="R114" s="1"/>
      <c r="S114" s="76" t="s">
        <v>1306</v>
      </c>
      <c r="T114" s="34">
        <v>23.6493</v>
      </c>
      <c r="U114" s="39">
        <v>23.6495</v>
      </c>
      <c r="V114" s="40">
        <v>23.648099999999999</v>
      </c>
      <c r="W114" s="40">
        <v>23.647500000000001</v>
      </c>
      <c r="X114" s="40">
        <v>23.648</v>
      </c>
      <c r="Y114" s="40">
        <v>23.6477</v>
      </c>
      <c r="Z114" s="40">
        <v>23.647600000000001</v>
      </c>
      <c r="AA114" s="41">
        <v>23.646599999999999</v>
      </c>
      <c r="AB114" s="81"/>
      <c r="AC114" s="21"/>
      <c r="AD114" s="442">
        <f t="shared" si="71"/>
        <v>-0.19999999999953388</v>
      </c>
      <c r="AE114" s="443">
        <f t="shared" si="72"/>
        <v>1.4000000000002899</v>
      </c>
      <c r="AF114" s="443">
        <f t="shared" si="68"/>
        <v>0.59999999999860165</v>
      </c>
      <c r="AG114" s="478">
        <f t="shared" si="59"/>
        <v>-0.49999999999883471</v>
      </c>
      <c r="AH114" s="443">
        <f t="shared" si="60"/>
        <v>0.29999999999930083</v>
      </c>
      <c r="AI114" s="441">
        <f t="shared" si="65"/>
        <v>9.9999999999766942E-2</v>
      </c>
      <c r="AJ114" s="655">
        <f t="shared" si="56"/>
        <v>1.0000000000012221</v>
      </c>
      <c r="AM114" s="477" t="str" cm="1">
        <f t="array" ref="AM114">_xlfn.XLOOKUP("?*",U114:AA114&amp;"",$U$3:$AA$3,S114,2,-1)</f>
        <v>R6</v>
      </c>
      <c r="AN114" s="477" cm="1">
        <f t="array" ref="AN114">_xlfn.XLOOKUP("?*",U114:AA114&amp;"",U114:AA114,T114,2,-1)</f>
        <v>23.646599999999999</v>
      </c>
      <c r="AO114" s="477" t="str" cm="1">
        <f t="array" ref="AO114">_xlfn.XLOOKUP("?*",U114:Z114&amp;"",$U$3:$Z$3,S114,2,-1)</f>
        <v>R5</v>
      </c>
      <c r="AP114" s="477" cm="1">
        <f t="array" ref="AP114">_xlfn.XLOOKUP("?*",U114:Z114&amp;"",U114:Z114,T114,2,-1)</f>
        <v>23.647600000000001</v>
      </c>
      <c r="AQ114" s="477" t="str" cm="1">
        <f t="array" ref="AQ114">_xlfn.XLOOKUP("?*",U114:Y114&amp;"",$U$3:$Y$3,S114,2,-1)</f>
        <v>R4</v>
      </c>
      <c r="AR114" s="477" cm="1">
        <f t="array" ref="AR114">_xlfn.XLOOKUP("?*",U114:Y114&amp;"",U114:Y114,T114,2,-1)</f>
        <v>23.6477</v>
      </c>
      <c r="AS114" s="477" t="str" cm="1">
        <f t="array" ref="AS114">_xlfn.XLOOKUP("?*",U114:X114&amp;"",$U$3:$X$3,S114,2,-1)</f>
        <v>R3</v>
      </c>
      <c r="AT114" s="477" cm="1">
        <f t="array" ref="AT114">_xlfn.XLOOKUP("?*",U114:X114&amp;"",U114:X114,T114,2,-1)</f>
        <v>23.648</v>
      </c>
      <c r="AU114" s="1" t="str">
        <f t="shared" si="61"/>
        <v>R2</v>
      </c>
      <c r="AV114" s="1">
        <f t="shared" si="62"/>
        <v>23.647500000000001</v>
      </c>
      <c r="AW114" s="1" t="str">
        <f t="shared" si="63"/>
        <v>R1</v>
      </c>
      <c r="AX114" s="1">
        <f t="shared" si="64"/>
        <v>23.648099999999999</v>
      </c>
    </row>
    <row r="115" spans="1:50" ht="17.100000000000001" customHeight="1">
      <c r="A115" s="10">
        <v>710</v>
      </c>
      <c r="B115" s="53" t="s">
        <v>349</v>
      </c>
      <c r="C115" s="10" t="s">
        <v>186</v>
      </c>
      <c r="D115" s="69" t="s">
        <v>671</v>
      </c>
      <c r="E115" s="69" t="s">
        <v>1469</v>
      </c>
      <c r="F115" s="70" t="s">
        <v>254</v>
      </c>
      <c r="G115" s="26" t="s">
        <v>9</v>
      </c>
      <c r="H115" s="8" t="s">
        <v>255</v>
      </c>
      <c r="I115" s="8" t="s">
        <v>541</v>
      </c>
      <c r="J115" s="8" t="s">
        <v>539</v>
      </c>
      <c r="K115" s="9" t="s">
        <v>248</v>
      </c>
      <c r="L115" s="30" t="s">
        <v>543</v>
      </c>
      <c r="M115" s="31">
        <v>12.5464</v>
      </c>
      <c r="N115" s="563" t="str" cm="1">
        <f t="array" ref="N115">_xlfn.XLOOKUP("?*",U115:Z115&amp;"",$U$3:$Z$3,S115,2,-1)</f>
        <v>R5</v>
      </c>
      <c r="O115" s="565" cm="1">
        <f t="array" ref="O115">_xlfn.XLOOKUP("?*",U115:Z115&amp;"",U115:Z115,T115,2,-1)</f>
        <v>12.446199999999999</v>
      </c>
      <c r="P115" s="92"/>
      <c r="Q115" s="88"/>
      <c r="R115" s="1"/>
      <c r="S115" s="76" t="s">
        <v>1296</v>
      </c>
      <c r="T115" s="35">
        <v>12.446999999999999</v>
      </c>
      <c r="U115" s="42">
        <v>12.449</v>
      </c>
      <c r="V115" s="43">
        <v>12.447800000000001</v>
      </c>
      <c r="W115" s="43">
        <v>12.449</v>
      </c>
      <c r="X115" s="43">
        <v>12.4491</v>
      </c>
      <c r="Y115" s="43">
        <v>12.4489</v>
      </c>
      <c r="Z115" s="43">
        <v>12.446199999999999</v>
      </c>
      <c r="AA115" s="44">
        <v>12.4489</v>
      </c>
      <c r="AB115" s="81"/>
      <c r="AC115" s="22"/>
      <c r="AD115" s="444">
        <f t="shared" si="71"/>
        <v>-2.0000000000006679</v>
      </c>
      <c r="AE115" s="441">
        <f t="shared" si="72"/>
        <v>1.1999999999989797</v>
      </c>
      <c r="AF115" s="441">
        <f t="shared" si="68"/>
        <v>-1.1999999999989797</v>
      </c>
      <c r="AG115" s="478">
        <f t="shared" si="59"/>
        <v>-9.9999999999766942E-2</v>
      </c>
      <c r="AH115" s="443">
        <f t="shared" si="60"/>
        <v>0.19999999999953388</v>
      </c>
      <c r="AI115" s="441">
        <f t="shared" si="65"/>
        <v>2.7000000000008129</v>
      </c>
      <c r="AJ115" s="655">
        <f t="shared" si="56"/>
        <v>-2.7000000000008129</v>
      </c>
      <c r="AM115" s="477" t="str" cm="1">
        <f t="array" ref="AM115">_xlfn.XLOOKUP("?*",U115:AA115&amp;"",$U$3:$AA$3,S115,2,-1)</f>
        <v>R6</v>
      </c>
      <c r="AN115" s="477" cm="1">
        <f t="array" ref="AN115">_xlfn.XLOOKUP("?*",U115:AA115&amp;"",U115:AA115,T115,2,-1)</f>
        <v>12.4489</v>
      </c>
      <c r="AO115" s="477" t="str" cm="1">
        <f t="array" ref="AO115">_xlfn.XLOOKUP("?*",U115:Z115&amp;"",$U$3:$Z$3,S115,2,-1)</f>
        <v>R5</v>
      </c>
      <c r="AP115" s="477" cm="1">
        <f t="array" ref="AP115">_xlfn.XLOOKUP("?*",U115:Z115&amp;"",U115:Z115,T115,2,-1)</f>
        <v>12.446199999999999</v>
      </c>
      <c r="AQ115" s="477" t="str" cm="1">
        <f t="array" ref="AQ115">_xlfn.XLOOKUP("?*",U115:Y115&amp;"",$U$3:$Y$3,S115,2,-1)</f>
        <v>R4</v>
      </c>
      <c r="AR115" s="477" cm="1">
        <f t="array" ref="AR115">_xlfn.XLOOKUP("?*",U115:Y115&amp;"",U115:Y115,T115,2,-1)</f>
        <v>12.4489</v>
      </c>
      <c r="AS115" s="477" t="str" cm="1">
        <f t="array" ref="AS115">_xlfn.XLOOKUP("?*",U115:X115&amp;"",$U$3:$X$3,S115,2,-1)</f>
        <v>R3</v>
      </c>
      <c r="AT115" s="477" cm="1">
        <f t="array" ref="AT115">_xlfn.XLOOKUP("?*",U115:X115&amp;"",U115:X115,T115,2,-1)</f>
        <v>12.4491</v>
      </c>
      <c r="AU115" s="1" t="str">
        <f t="shared" si="61"/>
        <v>R2</v>
      </c>
      <c r="AV115" s="1">
        <f t="shared" si="62"/>
        <v>12.449</v>
      </c>
      <c r="AW115" s="1" t="str">
        <f t="shared" si="63"/>
        <v>R1</v>
      </c>
      <c r="AX115" s="1">
        <f t="shared" si="64"/>
        <v>12.447800000000001</v>
      </c>
    </row>
    <row r="116" spans="1:50" ht="17.100000000000001" customHeight="1">
      <c r="A116" s="502">
        <v>801</v>
      </c>
      <c r="B116" s="503" t="s">
        <v>492</v>
      </c>
      <c r="C116" s="502" t="s">
        <v>196</v>
      </c>
      <c r="D116" s="504" t="s">
        <v>1092</v>
      </c>
      <c r="E116" s="504" t="s">
        <v>576</v>
      </c>
      <c r="F116" s="484" t="s">
        <v>198</v>
      </c>
      <c r="G116" s="485" t="s">
        <v>9</v>
      </c>
      <c r="H116" s="486" t="s">
        <v>10</v>
      </c>
      <c r="I116" s="486" t="s">
        <v>541</v>
      </c>
      <c r="J116" s="486" t="s">
        <v>141</v>
      </c>
      <c r="K116" s="487" t="s">
        <v>547</v>
      </c>
      <c r="L116" s="30" t="s">
        <v>545</v>
      </c>
      <c r="M116" s="31">
        <v>28.400500000000001</v>
      </c>
      <c r="N116" s="563" t="str" cm="1">
        <f t="array" ref="N116">_xlfn.XLOOKUP("?*",U116:Z116&amp;"",$U$3:$Z$3,S116,2,-1)</f>
        <v>H16</v>
      </c>
      <c r="O116" s="565" cm="1">
        <f t="array" ref="O116">_xlfn.XLOOKUP("?*",U116:Z116&amp;"",U116:Z116,T116,2,-1)</f>
        <v>28.292300000000001</v>
      </c>
      <c r="P116" s="92"/>
      <c r="Q116" s="87"/>
      <c r="R116" s="1"/>
      <c r="S116" s="76" t="s">
        <v>1313</v>
      </c>
      <c r="T116" s="34">
        <v>28.292300000000001</v>
      </c>
      <c r="U116" s="39"/>
      <c r="V116" s="40"/>
      <c r="W116" s="40"/>
      <c r="X116" s="40"/>
      <c r="Y116" s="40"/>
      <c r="Z116" s="40"/>
      <c r="AA116" s="41"/>
      <c r="AB116" s="81"/>
      <c r="AC116" s="21"/>
      <c r="AD116" s="442" t="str">
        <f t="shared" si="71"/>
        <v/>
      </c>
      <c r="AE116" s="443" t="str">
        <f t="shared" si="72"/>
        <v/>
      </c>
      <c r="AF116" s="443" t="str">
        <f t="shared" si="68"/>
        <v/>
      </c>
      <c r="AG116" s="478" t="str">
        <f t="shared" si="59"/>
        <v/>
      </c>
      <c r="AH116" s="443" t="str">
        <f t="shared" si="60"/>
        <v/>
      </c>
      <c r="AI116" s="441" t="str">
        <f t="shared" si="65"/>
        <v/>
      </c>
      <c r="AJ116" s="655" t="str">
        <f t="shared" si="56"/>
        <v/>
      </c>
      <c r="AM116" s="477" t="str" cm="1">
        <f t="array" ref="AM116">_xlfn.XLOOKUP("?*",U116:AA116&amp;"",$U$3:$AA$3,S116,2,-1)</f>
        <v>H16</v>
      </c>
      <c r="AN116" s="477" cm="1">
        <f t="array" ref="AN116">_xlfn.XLOOKUP("?*",U116:AA116&amp;"",U116:AA116,T116,2,-1)</f>
        <v>28.292300000000001</v>
      </c>
      <c r="AO116" s="477" t="str" cm="1">
        <f t="array" ref="AO116">_xlfn.XLOOKUP("?*",U116:Z116&amp;"",$U$3:$Z$3,S116,2,-1)</f>
        <v>H16</v>
      </c>
      <c r="AP116" s="477" cm="1">
        <f t="array" ref="AP116">_xlfn.XLOOKUP("?*",U116:Z116&amp;"",U116:Z116,T116,2,-1)</f>
        <v>28.292300000000001</v>
      </c>
      <c r="AQ116" s="477" t="str" cm="1">
        <f t="array" ref="AQ116">_xlfn.XLOOKUP("?*",U116:Y116&amp;"",$U$3:$Y$3,S116,2,-1)</f>
        <v>H16</v>
      </c>
      <c r="AR116" s="477" cm="1">
        <f t="array" ref="AR116">_xlfn.XLOOKUP("?*",U116:Y116&amp;"",U116:Y116,T116,2,-1)</f>
        <v>28.292300000000001</v>
      </c>
      <c r="AS116" s="477" t="str" cm="1">
        <f t="array" ref="AS116">_xlfn.XLOOKUP("?*",U116:X116&amp;"",$U$3:$X$3,S116,2,-1)</f>
        <v>H16</v>
      </c>
      <c r="AT116" s="477" cm="1">
        <f t="array" ref="AT116">_xlfn.XLOOKUP("?*",U116:X116&amp;"",U116:X116,T116,2,-1)</f>
        <v>28.292300000000001</v>
      </c>
      <c r="AU116" s="1" t="str">
        <f t="shared" si="61"/>
        <v>H16</v>
      </c>
      <c r="AV116" s="1">
        <f t="shared" si="62"/>
        <v>28.292300000000001</v>
      </c>
      <c r="AW116" s="1" t="str">
        <f t="shared" si="63"/>
        <v>H16</v>
      </c>
      <c r="AX116" s="1">
        <f t="shared" si="64"/>
        <v>28.292300000000001</v>
      </c>
    </row>
    <row r="117" spans="1:50" ht="17.100000000000001" customHeight="1">
      <c r="A117" s="10">
        <v>802</v>
      </c>
      <c r="B117" s="592">
        <v>8557</v>
      </c>
      <c r="C117" s="10" t="s">
        <v>196</v>
      </c>
      <c r="D117" s="69" t="s">
        <v>1480</v>
      </c>
      <c r="E117" s="69" t="s">
        <v>1470</v>
      </c>
      <c r="F117" s="70" t="s">
        <v>1433</v>
      </c>
      <c r="G117" s="26" t="s">
        <v>12</v>
      </c>
      <c r="H117" s="8" t="s">
        <v>532</v>
      </c>
      <c r="I117" s="8" t="s">
        <v>541</v>
      </c>
      <c r="J117" s="8" t="s">
        <v>141</v>
      </c>
      <c r="K117" s="9" t="s">
        <v>547</v>
      </c>
      <c r="L117" s="30" t="s">
        <v>529</v>
      </c>
      <c r="M117" s="31" t="s">
        <v>544</v>
      </c>
      <c r="N117" s="563" t="str" cm="1">
        <f t="array" ref="N117">_xlfn.XLOOKUP("?*",U117:Z117&amp;"",$U$3:$Z$3,S117,2,-1)</f>
        <v>R4</v>
      </c>
      <c r="O117" s="565" cm="1">
        <f t="array" ref="O117">_xlfn.XLOOKUP("?*",U117:Z117&amp;"",U117:Z117,T117,2,-1)</f>
        <v>19.467700000000001</v>
      </c>
      <c r="P117" s="92"/>
      <c r="Q117" s="87"/>
      <c r="R117" s="1"/>
      <c r="S117" s="76" t="s">
        <v>1301</v>
      </c>
      <c r="T117" s="34">
        <v>19.473400000000002</v>
      </c>
      <c r="U117" s="39">
        <v>19.470600000000001</v>
      </c>
      <c r="V117" s="40"/>
      <c r="W117" s="40">
        <v>19.4682</v>
      </c>
      <c r="X117" s="40"/>
      <c r="Y117" s="40">
        <v>19.467700000000001</v>
      </c>
      <c r="Z117" s="40"/>
      <c r="AA117" s="41"/>
      <c r="AB117" s="81"/>
      <c r="AC117" s="21"/>
      <c r="AD117" s="442">
        <f t="shared" si="71"/>
        <v>2.8000000000005798</v>
      </c>
      <c r="AE117" s="443" t="str">
        <f t="shared" si="72"/>
        <v/>
      </c>
      <c r="AF117" s="443">
        <f t="shared" si="68"/>
        <v>2.400000000001512</v>
      </c>
      <c r="AG117" s="478" t="str">
        <f t="shared" si="59"/>
        <v/>
      </c>
      <c r="AH117" s="443">
        <f t="shared" si="60"/>
        <v>0.49999999999883471</v>
      </c>
      <c r="AI117" s="441" t="str">
        <f t="shared" si="65"/>
        <v/>
      </c>
      <c r="AJ117" s="655" t="str">
        <f t="shared" si="56"/>
        <v/>
      </c>
      <c r="AM117" s="477" t="str" cm="1">
        <f t="array" ref="AM117">_xlfn.XLOOKUP("?*",U117:AA117&amp;"",$U$3:$AA$3,S117,2,-1)</f>
        <v>R4</v>
      </c>
      <c r="AN117" s="477" cm="1">
        <f t="array" ref="AN117">_xlfn.XLOOKUP("?*",U117:AA117&amp;"",U117:AA117,T117,2,-1)</f>
        <v>19.467700000000001</v>
      </c>
      <c r="AO117" s="477" t="str" cm="1">
        <f t="array" ref="AO117">_xlfn.XLOOKUP("?*",U117:Z117&amp;"",$U$3:$Z$3,S117,2,-1)</f>
        <v>R4</v>
      </c>
      <c r="AP117" s="477" cm="1">
        <f t="array" ref="AP117">_xlfn.XLOOKUP("?*",U117:Z117&amp;"",U117:Z117,T117,2,-1)</f>
        <v>19.467700000000001</v>
      </c>
      <c r="AQ117" s="477" t="str" cm="1">
        <f t="array" ref="AQ117">_xlfn.XLOOKUP("?*",U117:Y117&amp;"",$U$3:$Y$3,S117,2,-1)</f>
        <v>R4</v>
      </c>
      <c r="AR117" s="477" cm="1">
        <f t="array" ref="AR117">_xlfn.XLOOKUP("?*",U117:Y117&amp;"",U117:Y117,T117,2,-1)</f>
        <v>19.467700000000001</v>
      </c>
      <c r="AS117" s="477" t="str" cm="1">
        <f t="array" ref="AS117">_xlfn.XLOOKUP("?*",U117:X117&amp;"",$U$3:$X$3,S117,2,-1)</f>
        <v>R2</v>
      </c>
      <c r="AT117" s="477" cm="1">
        <f t="array" ref="AT117">_xlfn.XLOOKUP("?*",U117:X117&amp;"",U117:X117,T117,2,-1)</f>
        <v>19.4682</v>
      </c>
      <c r="AU117" s="1" t="str">
        <f t="shared" si="61"/>
        <v>R2</v>
      </c>
      <c r="AV117" s="1">
        <f t="shared" si="62"/>
        <v>19.4682</v>
      </c>
      <c r="AW117" s="1" t="str">
        <f t="shared" si="63"/>
        <v>H30</v>
      </c>
      <c r="AX117" s="1">
        <f t="shared" si="64"/>
        <v>19.470600000000001</v>
      </c>
    </row>
    <row r="118" spans="1:50" ht="17.100000000000001" customHeight="1">
      <c r="A118" s="10">
        <v>803</v>
      </c>
      <c r="B118" s="592">
        <v>4598</v>
      </c>
      <c r="C118" s="10" t="s">
        <v>196</v>
      </c>
      <c r="D118" s="69" t="s">
        <v>1098</v>
      </c>
      <c r="E118" s="69" t="s">
        <v>688</v>
      </c>
      <c r="F118" s="70" t="s">
        <v>1434</v>
      </c>
      <c r="G118" s="26" t="s">
        <v>12</v>
      </c>
      <c r="H118" s="8" t="s">
        <v>10</v>
      </c>
      <c r="I118" s="8" t="s">
        <v>541</v>
      </c>
      <c r="J118" s="8" t="s">
        <v>141</v>
      </c>
      <c r="K118" s="9" t="s">
        <v>547</v>
      </c>
      <c r="L118" s="30" t="s">
        <v>545</v>
      </c>
      <c r="M118" s="31">
        <v>47.278399999999998</v>
      </c>
      <c r="N118" s="563" t="str" cm="1">
        <f t="array" ref="N118">_xlfn.XLOOKUP("?*",U118:Z118&amp;"",$U$3:$Z$3,S118,2,-1)</f>
        <v>R2</v>
      </c>
      <c r="O118" s="565" cm="1">
        <f t="array" ref="O118">_xlfn.XLOOKUP("?*",U118:Z118&amp;"",U118:Z118,T118,2,-1)</f>
        <v>47.150100000000002</v>
      </c>
      <c r="P118" s="92"/>
      <c r="Q118" s="87"/>
      <c r="R118" s="1"/>
      <c r="S118" s="76" t="s">
        <v>1302</v>
      </c>
      <c r="T118" s="34">
        <v>47.153399999999998</v>
      </c>
      <c r="U118" s="39"/>
      <c r="V118" s="40"/>
      <c r="W118" s="40">
        <v>47.150100000000002</v>
      </c>
      <c r="X118" s="40"/>
      <c r="Y118" s="40"/>
      <c r="Z118" s="40"/>
      <c r="AA118" s="41"/>
      <c r="AB118" s="81"/>
      <c r="AC118" s="21"/>
      <c r="AD118" s="442" t="str">
        <f t="shared" si="71"/>
        <v/>
      </c>
      <c r="AE118" s="443" t="str">
        <f t="shared" si="72"/>
        <v/>
      </c>
      <c r="AF118" s="443">
        <f t="shared" si="68"/>
        <v>3.2999999999958618</v>
      </c>
      <c r="AG118" s="478" t="str">
        <f t="shared" si="59"/>
        <v/>
      </c>
      <c r="AH118" s="443" t="str">
        <f t="shared" si="60"/>
        <v/>
      </c>
      <c r="AI118" s="441" t="str">
        <f t="shared" si="65"/>
        <v/>
      </c>
      <c r="AJ118" s="655" t="str">
        <f>IF(AA118="","",($AN118-$AP118)*(-1000))</f>
        <v/>
      </c>
      <c r="AM118" s="477" t="str" cm="1">
        <f t="array" ref="AM118">_xlfn.XLOOKUP("?*",U118:AA118&amp;"",$U$3:$AA$3,S118,2,-1)</f>
        <v>R2</v>
      </c>
      <c r="AN118" s="477" cm="1">
        <f t="array" ref="AN118">_xlfn.XLOOKUP("?*",U118:AA118&amp;"",U118:AA118,T118,2,-1)</f>
        <v>47.150100000000002</v>
      </c>
      <c r="AO118" s="477" t="str" cm="1">
        <f t="array" ref="AO118">_xlfn.XLOOKUP("?*",U118:Z118&amp;"",$U$3:$Z$3,S118,2,-1)</f>
        <v>R2</v>
      </c>
      <c r="AP118" s="477" cm="1">
        <f t="array" ref="AP118">_xlfn.XLOOKUP("?*",U118:Z118&amp;"",U118:Z118,T118,2,-1)</f>
        <v>47.150100000000002</v>
      </c>
      <c r="AQ118" s="477" t="str" cm="1">
        <f t="array" ref="AQ118">_xlfn.XLOOKUP("?*",U118:Y118&amp;"",$U$3:$Y$3,S118,2,-1)</f>
        <v>R2</v>
      </c>
      <c r="AR118" s="477" cm="1">
        <f t="array" ref="AR118">_xlfn.XLOOKUP("?*",U118:Y118&amp;"",U118:Y118,T118,2,-1)</f>
        <v>47.150100000000002</v>
      </c>
      <c r="AS118" s="477" t="str" cm="1">
        <f t="array" ref="AS118">_xlfn.XLOOKUP("?*",U118:X118&amp;"",$U$3:$X$3,S118,2,-1)</f>
        <v>R2</v>
      </c>
      <c r="AT118" s="477" cm="1">
        <f t="array" ref="AT118">_xlfn.XLOOKUP("?*",U118:X118&amp;"",U118:X118,T118,2,-1)</f>
        <v>47.150100000000002</v>
      </c>
      <c r="AU118" s="1" t="str">
        <f t="shared" si="61"/>
        <v>R2</v>
      </c>
      <c r="AV118" s="1">
        <f t="shared" si="62"/>
        <v>47.150100000000002</v>
      </c>
      <c r="AW118" s="1" t="str">
        <f t="shared" si="63"/>
        <v>H27</v>
      </c>
      <c r="AX118" s="1">
        <f t="shared" si="64"/>
        <v>47.153399999999998</v>
      </c>
    </row>
    <row r="119" spans="1:50" ht="16.5" customHeight="1">
      <c r="A119" s="502">
        <v>804</v>
      </c>
      <c r="B119" s="503" t="s">
        <v>496</v>
      </c>
      <c r="C119" s="502" t="s">
        <v>196</v>
      </c>
      <c r="D119" s="504" t="s">
        <v>1103</v>
      </c>
      <c r="E119" s="504" t="s">
        <v>704</v>
      </c>
      <c r="F119" s="484" t="s">
        <v>251</v>
      </c>
      <c r="G119" s="485" t="s">
        <v>9</v>
      </c>
      <c r="H119" s="486" t="s">
        <v>10</v>
      </c>
      <c r="I119" s="486" t="s">
        <v>541</v>
      </c>
      <c r="J119" s="486" t="s">
        <v>141</v>
      </c>
      <c r="K119" s="487" t="s">
        <v>547</v>
      </c>
      <c r="L119" s="30" t="s">
        <v>545</v>
      </c>
      <c r="M119" s="31">
        <v>39.233600000000003</v>
      </c>
      <c r="N119" s="563" t="str" cm="1">
        <f t="array" ref="N119">_xlfn.XLOOKUP("?*",U119:Z119&amp;"",$U$3:$Z$3,S119,2,-1)</f>
        <v>H16</v>
      </c>
      <c r="O119" s="565" cm="1">
        <f t="array" ref="O119">_xlfn.XLOOKUP("?*",U119:Z119&amp;"",U119:Z119,T119,2,-1)</f>
        <v>39.122199999999999</v>
      </c>
      <c r="P119" s="92"/>
      <c r="Q119" s="87"/>
      <c r="R119" s="1"/>
      <c r="S119" s="76" t="s">
        <v>1312</v>
      </c>
      <c r="T119" s="34">
        <v>39.122199999999999</v>
      </c>
      <c r="U119" s="39"/>
      <c r="V119" s="40"/>
      <c r="W119" s="40"/>
      <c r="X119" s="40"/>
      <c r="Y119" s="40"/>
      <c r="Z119" s="40"/>
      <c r="AA119" s="41"/>
      <c r="AB119" s="81"/>
      <c r="AC119" s="21"/>
      <c r="AD119" s="442" t="str">
        <f t="shared" si="71"/>
        <v/>
      </c>
      <c r="AE119" s="443" t="str">
        <f t="shared" si="72"/>
        <v/>
      </c>
      <c r="AF119" s="443" t="str">
        <f t="shared" si="68"/>
        <v/>
      </c>
      <c r="AG119" s="478" t="str">
        <f t="shared" si="59"/>
        <v/>
      </c>
      <c r="AH119" s="443" t="str">
        <f t="shared" si="60"/>
        <v/>
      </c>
      <c r="AI119" s="441" t="str">
        <f t="shared" si="65"/>
        <v/>
      </c>
      <c r="AJ119" s="655" t="str">
        <f t="shared" ref="AJ119:AJ138" si="73">IF(AA119="","",($AN119-$AP119)*(-1000))</f>
        <v/>
      </c>
      <c r="AM119" s="477" t="str" cm="1">
        <f t="array" ref="AM119">_xlfn.XLOOKUP("?*",U119:AA119&amp;"",$U$3:$AA$3,S119,2,-1)</f>
        <v>H16</v>
      </c>
      <c r="AN119" s="477" cm="1">
        <f t="array" ref="AN119">_xlfn.XLOOKUP("?*",U119:AA119&amp;"",U119:AA119,T119,2,-1)</f>
        <v>39.122199999999999</v>
      </c>
      <c r="AO119" s="477" t="str" cm="1">
        <f t="array" ref="AO119">_xlfn.XLOOKUP("?*",U119:Z119&amp;"",$U$3:$Z$3,S119,2,-1)</f>
        <v>H16</v>
      </c>
      <c r="AP119" s="477" cm="1">
        <f t="array" ref="AP119">_xlfn.XLOOKUP("?*",U119:Z119&amp;"",U119:Z119,T119,2,-1)</f>
        <v>39.122199999999999</v>
      </c>
      <c r="AQ119" s="477" t="str" cm="1">
        <f t="array" ref="AQ119">_xlfn.XLOOKUP("?*",U119:Y119&amp;"",$U$3:$Y$3,S119,2,-1)</f>
        <v>H16</v>
      </c>
      <c r="AR119" s="477" cm="1">
        <f t="array" ref="AR119">_xlfn.XLOOKUP("?*",U119:Y119&amp;"",U119:Y119,T119,2,-1)</f>
        <v>39.122199999999999</v>
      </c>
      <c r="AS119" s="477" t="str" cm="1">
        <f t="array" ref="AS119">_xlfn.XLOOKUP("?*",U119:X119&amp;"",$U$3:$X$3,S119,2,-1)</f>
        <v>H16</v>
      </c>
      <c r="AT119" s="477" cm="1">
        <f t="array" ref="AT119">_xlfn.XLOOKUP("?*",U119:X119&amp;"",U119:X119,T119,2,-1)</f>
        <v>39.122199999999999</v>
      </c>
      <c r="AU119" s="1" t="str">
        <f t="shared" si="61"/>
        <v>H16</v>
      </c>
      <c r="AV119" s="1">
        <f t="shared" si="62"/>
        <v>39.122199999999999</v>
      </c>
      <c r="AW119" s="1" t="str">
        <f t="shared" si="63"/>
        <v>H16</v>
      </c>
      <c r="AX119" s="1">
        <f t="shared" si="64"/>
        <v>39.122199999999999</v>
      </c>
    </row>
    <row r="120" spans="1:50" ht="16.5" customHeight="1">
      <c r="A120" s="10">
        <v>805</v>
      </c>
      <c r="B120" s="53" t="s">
        <v>498</v>
      </c>
      <c r="C120" s="10" t="s">
        <v>196</v>
      </c>
      <c r="D120" s="69" t="s">
        <v>1100</v>
      </c>
      <c r="E120" s="69" t="s">
        <v>689</v>
      </c>
      <c r="F120" s="70" t="s">
        <v>205</v>
      </c>
      <c r="G120" s="26" t="s">
        <v>9</v>
      </c>
      <c r="H120" s="8" t="s">
        <v>127</v>
      </c>
      <c r="I120" s="8" t="s">
        <v>541</v>
      </c>
      <c r="J120" s="8" t="s">
        <v>141</v>
      </c>
      <c r="K120" s="9" t="s">
        <v>547</v>
      </c>
      <c r="L120" s="30" t="s">
        <v>545</v>
      </c>
      <c r="M120" s="31">
        <v>22.272300000000001</v>
      </c>
      <c r="N120" s="563" t="str" cm="1">
        <f t="array" ref="N120">_xlfn.XLOOKUP("?*",U120:Z120&amp;"",$U$3:$Z$3,S120,2,-1)</f>
        <v>R2</v>
      </c>
      <c r="O120" s="565" cm="1">
        <f t="array" ref="O120">_xlfn.XLOOKUP("?*",U120:Z120&amp;"",U120:Z120,T120,2,-1)</f>
        <v>22.140699999999999</v>
      </c>
      <c r="P120" s="92"/>
      <c r="Q120" s="87"/>
      <c r="S120" s="76" t="s">
        <v>1301</v>
      </c>
      <c r="T120" s="34">
        <v>22.1448</v>
      </c>
      <c r="U120" s="39"/>
      <c r="V120" s="40"/>
      <c r="W120" s="40">
        <v>22.140699999999999</v>
      </c>
      <c r="X120" s="40"/>
      <c r="Y120" s="40"/>
      <c r="Z120" s="40"/>
      <c r="AA120" s="41"/>
      <c r="AB120" s="81"/>
      <c r="AC120" s="21"/>
      <c r="AD120" s="442" t="str">
        <f t="shared" si="71"/>
        <v/>
      </c>
      <c r="AE120" s="443" t="str">
        <f t="shared" si="72"/>
        <v/>
      </c>
      <c r="AF120" s="443">
        <f t="shared" si="68"/>
        <v>4.1000000000011028</v>
      </c>
      <c r="AG120" s="478" t="str">
        <f t="shared" si="59"/>
        <v/>
      </c>
      <c r="AH120" s="443" t="str">
        <f t="shared" si="60"/>
        <v/>
      </c>
      <c r="AI120" s="441" t="str">
        <f>IF(Z120="","",($AP120-$AR120)*(-1000))</f>
        <v/>
      </c>
      <c r="AJ120" s="655" t="str">
        <f t="shared" si="73"/>
        <v/>
      </c>
      <c r="AM120" s="477" t="str" cm="1">
        <f t="array" ref="AM120">_xlfn.XLOOKUP("?*",U120:AA120&amp;"",$U$3:$AA$3,S120,2,-1)</f>
        <v>R2</v>
      </c>
      <c r="AN120" s="477" cm="1">
        <f t="array" ref="AN120">_xlfn.XLOOKUP("?*",U120:AA120&amp;"",U120:AA120,T120,2,-1)</f>
        <v>22.140699999999999</v>
      </c>
      <c r="AO120" s="477" t="str" cm="1">
        <f t="array" ref="AO120">_xlfn.XLOOKUP("?*",U120:Z120&amp;"",$U$3:$Z$3,S120,2,-1)</f>
        <v>R2</v>
      </c>
      <c r="AP120" s="477" cm="1">
        <f t="array" ref="AP120">_xlfn.XLOOKUP("?*",U120:Z120&amp;"",U120:Z120,T120,2,-1)</f>
        <v>22.140699999999999</v>
      </c>
      <c r="AQ120" s="477" t="str" cm="1">
        <f t="array" ref="AQ120">_xlfn.XLOOKUP("?*",U120:Y120&amp;"",$U$3:$Y$3,S120,2,-1)</f>
        <v>R2</v>
      </c>
      <c r="AR120" s="477" cm="1">
        <f t="array" ref="AR120">_xlfn.XLOOKUP("?*",U120:Y120&amp;"",U120:Y120,T120,2,-1)</f>
        <v>22.140699999999999</v>
      </c>
      <c r="AS120" s="477" t="str" cm="1">
        <f t="array" ref="AS120">_xlfn.XLOOKUP("?*",U120:X120&amp;"",$U$3:$X$3,S120,2,-1)</f>
        <v>R2</v>
      </c>
      <c r="AT120" s="477" cm="1">
        <f t="array" ref="AT120">_xlfn.XLOOKUP("?*",U120:X120&amp;"",U120:X120,T120,2,-1)</f>
        <v>22.140699999999999</v>
      </c>
      <c r="AU120" s="1" t="str">
        <f t="shared" si="61"/>
        <v>R2</v>
      </c>
      <c r="AV120" s="1">
        <f t="shared" si="62"/>
        <v>22.140699999999999</v>
      </c>
      <c r="AW120" s="1" t="str">
        <f t="shared" si="63"/>
        <v>H27</v>
      </c>
      <c r="AX120" s="1">
        <f t="shared" si="64"/>
        <v>22.1448</v>
      </c>
    </row>
    <row r="121" spans="1:50" ht="17.100000000000001" customHeight="1">
      <c r="A121" s="10">
        <v>806</v>
      </c>
      <c r="B121" s="53" t="s">
        <v>500</v>
      </c>
      <c r="C121" s="10" t="s">
        <v>196</v>
      </c>
      <c r="D121" s="69" t="s">
        <v>1096</v>
      </c>
      <c r="E121" s="69" t="s">
        <v>659</v>
      </c>
      <c r="F121" s="70" t="s">
        <v>207</v>
      </c>
      <c r="G121" s="26" t="s">
        <v>9</v>
      </c>
      <c r="H121" s="8" t="s">
        <v>31</v>
      </c>
      <c r="I121" s="8" t="s">
        <v>541</v>
      </c>
      <c r="J121" s="8" t="s">
        <v>141</v>
      </c>
      <c r="K121" s="9" t="s">
        <v>547</v>
      </c>
      <c r="L121" s="30" t="s">
        <v>545</v>
      </c>
      <c r="M121" s="31">
        <v>28.846900000000002</v>
      </c>
      <c r="N121" s="563" t="str" cm="1">
        <f t="array" ref="N121">_xlfn.XLOOKUP("?*",U121:Z121&amp;"",$U$3:$Z$3,S121,2,-1)</f>
        <v>R2</v>
      </c>
      <c r="O121" s="565" cm="1">
        <f t="array" ref="O121">_xlfn.XLOOKUP("?*",U121:Z121&amp;"",U121:Z121,T121,2,-1)</f>
        <v>28.729399999999998</v>
      </c>
      <c r="P121" s="92"/>
      <c r="Q121" s="87"/>
      <c r="S121" s="76" t="s">
        <v>1301</v>
      </c>
      <c r="T121" s="34">
        <v>28.7347</v>
      </c>
      <c r="U121" s="39"/>
      <c r="V121" s="40"/>
      <c r="W121" s="40">
        <v>28.729399999999998</v>
      </c>
      <c r="X121" s="40"/>
      <c r="Y121" s="40"/>
      <c r="Z121" s="40"/>
      <c r="AA121" s="41"/>
      <c r="AB121" s="81"/>
      <c r="AC121" s="21"/>
      <c r="AD121" s="442" t="str">
        <f t="shared" si="71"/>
        <v/>
      </c>
      <c r="AE121" s="443" t="str">
        <f t="shared" si="72"/>
        <v/>
      </c>
      <c r="AF121" s="443">
        <f t="shared" si="68"/>
        <v>5.3000000000018588</v>
      </c>
      <c r="AG121" s="478" t="str">
        <f t="shared" si="59"/>
        <v/>
      </c>
      <c r="AH121" s="443" t="str">
        <f t="shared" si="60"/>
        <v/>
      </c>
      <c r="AI121" s="441" t="str">
        <f t="shared" ref="AI121:AI139" si="74">IF(Z121="","",($AP121-$AR121)*(-1000))</f>
        <v/>
      </c>
      <c r="AJ121" s="655" t="str">
        <f t="shared" si="73"/>
        <v/>
      </c>
      <c r="AM121" s="477" t="str" cm="1">
        <f t="array" ref="AM121">_xlfn.XLOOKUP("?*",U121:AA121&amp;"",$U$3:$AA$3,S121,2,-1)</f>
        <v>R2</v>
      </c>
      <c r="AN121" s="477" cm="1">
        <f t="array" ref="AN121">_xlfn.XLOOKUP("?*",U121:AA121&amp;"",U121:AA121,T121,2,-1)</f>
        <v>28.729399999999998</v>
      </c>
      <c r="AO121" s="477" t="str" cm="1">
        <f t="array" ref="AO121">_xlfn.XLOOKUP("?*",U121:Z121&amp;"",$U$3:$Z$3,S121,2,-1)</f>
        <v>R2</v>
      </c>
      <c r="AP121" s="477" cm="1">
        <f t="array" ref="AP121">_xlfn.XLOOKUP("?*",U121:Z121&amp;"",U121:Z121,T121,2,-1)</f>
        <v>28.729399999999998</v>
      </c>
      <c r="AQ121" s="477" t="str" cm="1">
        <f t="array" ref="AQ121">_xlfn.XLOOKUP("?*",U121:Y121&amp;"",$U$3:$Y$3,S121,2,-1)</f>
        <v>R2</v>
      </c>
      <c r="AR121" s="477" cm="1">
        <f t="array" ref="AR121">_xlfn.XLOOKUP("?*",U121:Y121&amp;"",U121:Y121,T121,2,-1)</f>
        <v>28.729399999999998</v>
      </c>
      <c r="AS121" s="477" t="str" cm="1">
        <f t="array" ref="AS121">_xlfn.XLOOKUP("?*",U121:X121&amp;"",$U$3:$X$3,S121,2,-1)</f>
        <v>R2</v>
      </c>
      <c r="AT121" s="477" cm="1">
        <f t="array" ref="AT121">_xlfn.XLOOKUP("?*",U121:X121&amp;"",U121:X121,T121,2,-1)</f>
        <v>28.729399999999998</v>
      </c>
      <c r="AU121" s="1" t="str">
        <f t="shared" si="61"/>
        <v>R2</v>
      </c>
      <c r="AV121" s="1">
        <f t="shared" si="62"/>
        <v>28.729399999999998</v>
      </c>
      <c r="AW121" s="1" t="str">
        <f t="shared" si="63"/>
        <v>H27</v>
      </c>
      <c r="AX121" s="1">
        <f t="shared" si="64"/>
        <v>28.7347</v>
      </c>
    </row>
    <row r="122" spans="1:50" ht="17.100000000000001" customHeight="1">
      <c r="A122" s="10">
        <v>807</v>
      </c>
      <c r="B122" s="592">
        <v>8555</v>
      </c>
      <c r="C122" s="10" t="s">
        <v>196</v>
      </c>
      <c r="D122" s="69" t="s">
        <v>580</v>
      </c>
      <c r="E122" s="69" t="s">
        <v>580</v>
      </c>
      <c r="F122" s="70" t="s">
        <v>1435</v>
      </c>
      <c r="G122" s="26" t="s">
        <v>12</v>
      </c>
      <c r="H122" s="8" t="s">
        <v>31</v>
      </c>
      <c r="I122" s="8" t="s">
        <v>541</v>
      </c>
      <c r="J122" s="8" t="s">
        <v>54</v>
      </c>
      <c r="K122" s="9" t="s">
        <v>250</v>
      </c>
      <c r="L122" s="30" t="s">
        <v>543</v>
      </c>
      <c r="M122" s="31">
        <v>11.568399999999999</v>
      </c>
      <c r="N122" s="563" t="str" cm="1">
        <f t="array" ref="N122">_xlfn.XLOOKUP("?*",U122:Z122&amp;"",$U$3:$Z$3,S122,2,-1)</f>
        <v>R4</v>
      </c>
      <c r="O122" s="565" cm="1">
        <f t="array" ref="O122">_xlfn.XLOOKUP("?*",U122:Z122&amp;"",U122:Z122,T122,2,-1)</f>
        <v>11.420999999999999</v>
      </c>
      <c r="P122" s="92"/>
      <c r="Q122" s="87"/>
      <c r="S122" s="76" t="s">
        <v>1301</v>
      </c>
      <c r="T122" s="34">
        <v>11.4381</v>
      </c>
      <c r="U122" s="39">
        <v>11.430400000000001</v>
      </c>
      <c r="V122" s="40"/>
      <c r="W122" s="40">
        <v>11.4229</v>
      </c>
      <c r="X122" s="40"/>
      <c r="Y122" s="40">
        <v>11.420999999999999</v>
      </c>
      <c r="Z122" s="40"/>
      <c r="AA122" s="41"/>
      <c r="AB122" s="81"/>
      <c r="AC122" s="21"/>
      <c r="AD122" s="442">
        <f t="shared" si="71"/>
        <v>7.6999999999998181</v>
      </c>
      <c r="AE122" s="443" t="str">
        <f t="shared" si="72"/>
        <v/>
      </c>
      <c r="AF122" s="443">
        <f t="shared" si="68"/>
        <v>7.5000000000002842</v>
      </c>
      <c r="AG122" s="478" t="str">
        <f t="shared" si="59"/>
        <v/>
      </c>
      <c r="AH122" s="443">
        <f t="shared" si="60"/>
        <v>1.900000000000901</v>
      </c>
      <c r="AI122" s="441" t="str">
        <f t="shared" si="74"/>
        <v/>
      </c>
      <c r="AJ122" s="655" t="str">
        <f t="shared" si="73"/>
        <v/>
      </c>
      <c r="AM122" s="477" t="str" cm="1">
        <f t="array" ref="AM122">_xlfn.XLOOKUP("?*",U122:AA122&amp;"",$U$3:$AA$3,S122,2,-1)</f>
        <v>R4</v>
      </c>
      <c r="AN122" s="477" cm="1">
        <f t="array" ref="AN122">_xlfn.XLOOKUP("?*",U122:AA122&amp;"",U122:AA122,T122,2,-1)</f>
        <v>11.420999999999999</v>
      </c>
      <c r="AO122" s="477" t="str" cm="1">
        <f t="array" ref="AO122">_xlfn.XLOOKUP("?*",U122:Z122&amp;"",$U$3:$Z$3,S122,2,-1)</f>
        <v>R4</v>
      </c>
      <c r="AP122" s="477" cm="1">
        <f t="array" ref="AP122">_xlfn.XLOOKUP("?*",U122:Z122&amp;"",U122:Z122,T122,2,-1)</f>
        <v>11.420999999999999</v>
      </c>
      <c r="AQ122" s="477" t="str" cm="1">
        <f t="array" ref="AQ122">_xlfn.XLOOKUP("?*",U122:Y122&amp;"",$U$3:$Y$3,S122,2,-1)</f>
        <v>R4</v>
      </c>
      <c r="AR122" s="477" cm="1">
        <f t="array" ref="AR122">_xlfn.XLOOKUP("?*",U122:Y122&amp;"",U122:Y122,T122,2,-1)</f>
        <v>11.420999999999999</v>
      </c>
      <c r="AS122" s="477" t="str" cm="1">
        <f t="array" ref="AS122">_xlfn.XLOOKUP("?*",U122:X122&amp;"",$U$3:$X$3,S122,2,-1)</f>
        <v>R2</v>
      </c>
      <c r="AT122" s="477" cm="1">
        <f t="array" ref="AT122">_xlfn.XLOOKUP("?*",U122:X122&amp;"",U122:X122,T122,2,-1)</f>
        <v>11.4229</v>
      </c>
      <c r="AU122" s="1" t="str">
        <f t="shared" si="61"/>
        <v>R2</v>
      </c>
      <c r="AV122" s="1">
        <f t="shared" si="62"/>
        <v>11.4229</v>
      </c>
      <c r="AW122" s="1" t="str">
        <f t="shared" si="63"/>
        <v>H30</v>
      </c>
      <c r="AX122" s="1">
        <f t="shared" si="64"/>
        <v>11.430400000000001</v>
      </c>
    </row>
    <row r="123" spans="1:50" ht="17.100000000000001" customHeight="1">
      <c r="A123" s="502">
        <v>808</v>
      </c>
      <c r="B123" s="594">
        <v>8556</v>
      </c>
      <c r="C123" s="502" t="s">
        <v>196</v>
      </c>
      <c r="D123" s="504" t="s">
        <v>673</v>
      </c>
      <c r="E123" s="504" t="s">
        <v>673</v>
      </c>
      <c r="F123" s="484" t="s">
        <v>211</v>
      </c>
      <c r="G123" s="485" t="s">
        <v>12</v>
      </c>
      <c r="H123" s="486" t="s">
        <v>10</v>
      </c>
      <c r="I123" s="486" t="s">
        <v>541</v>
      </c>
      <c r="J123" s="486" t="s">
        <v>141</v>
      </c>
      <c r="K123" s="487" t="s">
        <v>547</v>
      </c>
      <c r="L123" s="30" t="s">
        <v>545</v>
      </c>
      <c r="M123" s="31">
        <v>22.674199999999999</v>
      </c>
      <c r="N123" s="563" t="str" cm="1">
        <f t="array" ref="N123">_xlfn.XLOOKUP("?*",U123:Z123&amp;"",$U$3:$Z$3,S123,2,-1)</f>
        <v>H16</v>
      </c>
      <c r="O123" s="565" cm="1">
        <f t="array" ref="O123">_xlfn.XLOOKUP("?*",U123:Z123&amp;"",U123:Z123,T123,2,-1)</f>
        <v>22.564800000000002</v>
      </c>
      <c r="P123" s="92"/>
      <c r="Q123" s="87"/>
      <c r="S123" s="76" t="s">
        <v>1313</v>
      </c>
      <c r="T123" s="34">
        <v>22.564800000000002</v>
      </c>
      <c r="U123" s="39"/>
      <c r="V123" s="40"/>
      <c r="W123" s="40"/>
      <c r="X123" s="40"/>
      <c r="Y123" s="40"/>
      <c r="Z123" s="40"/>
      <c r="AA123" s="41"/>
      <c r="AB123" s="81"/>
      <c r="AC123" s="21"/>
      <c r="AD123" s="442" t="str">
        <f t="shared" si="71"/>
        <v/>
      </c>
      <c r="AE123" s="443" t="str">
        <f t="shared" si="72"/>
        <v/>
      </c>
      <c r="AF123" s="443" t="str">
        <f t="shared" si="68"/>
        <v/>
      </c>
      <c r="AG123" s="478" t="str">
        <f t="shared" si="59"/>
        <v/>
      </c>
      <c r="AH123" s="443" t="str">
        <f t="shared" si="60"/>
        <v/>
      </c>
      <c r="AI123" s="441" t="str">
        <f t="shared" si="74"/>
        <v/>
      </c>
      <c r="AJ123" s="655" t="str">
        <f t="shared" si="73"/>
        <v/>
      </c>
      <c r="AM123" s="477" t="str" cm="1">
        <f t="array" ref="AM123">_xlfn.XLOOKUP("?*",U123:AA123&amp;"",$U$3:$AA$3,S123,2,-1)</f>
        <v>H16</v>
      </c>
      <c r="AN123" s="477" cm="1">
        <f t="array" ref="AN123">_xlfn.XLOOKUP("?*",U123:AA123&amp;"",U123:AA123,T123,2,-1)</f>
        <v>22.564800000000002</v>
      </c>
      <c r="AO123" s="477" t="str" cm="1">
        <f t="array" ref="AO123">_xlfn.XLOOKUP("?*",U123:Z123&amp;"",$U$3:$Z$3,S123,2,-1)</f>
        <v>H16</v>
      </c>
      <c r="AP123" s="477" cm="1">
        <f t="array" ref="AP123">_xlfn.XLOOKUP("?*",U123:Z123&amp;"",U123:Z123,T123,2,-1)</f>
        <v>22.564800000000002</v>
      </c>
      <c r="AQ123" s="477" t="str" cm="1">
        <f t="array" ref="AQ123">_xlfn.XLOOKUP("?*",U123:Y123&amp;"",$U$3:$Y$3,S123,2,-1)</f>
        <v>H16</v>
      </c>
      <c r="AR123" s="477" cm="1">
        <f t="array" ref="AR123">_xlfn.XLOOKUP("?*",U123:Y123&amp;"",U123:Y123,T123,2,-1)</f>
        <v>22.564800000000002</v>
      </c>
      <c r="AS123" s="477" t="str" cm="1">
        <f t="array" ref="AS123">_xlfn.XLOOKUP("?*",U123:X123&amp;"",$U$3:$X$3,S123,2,-1)</f>
        <v>H16</v>
      </c>
      <c r="AT123" s="477" cm="1">
        <f t="array" ref="AT123">_xlfn.XLOOKUP("?*",U123:X123&amp;"",U123:X123,T123,2,-1)</f>
        <v>22.564800000000002</v>
      </c>
      <c r="AU123" s="1" t="str">
        <f t="shared" si="61"/>
        <v>H16</v>
      </c>
      <c r="AV123" s="1">
        <f t="shared" si="62"/>
        <v>22.564800000000002</v>
      </c>
      <c r="AW123" s="1" t="str">
        <f t="shared" si="63"/>
        <v>H16</v>
      </c>
      <c r="AX123" s="1">
        <f t="shared" si="64"/>
        <v>22.564800000000002</v>
      </c>
    </row>
    <row r="124" spans="1:50" ht="17.100000000000001" customHeight="1">
      <c r="A124" s="10">
        <v>809</v>
      </c>
      <c r="B124" s="53" t="s">
        <v>504</v>
      </c>
      <c r="C124" s="10" t="s">
        <v>196</v>
      </c>
      <c r="D124" s="69" t="s">
        <v>660</v>
      </c>
      <c r="E124" s="69" t="s">
        <v>660</v>
      </c>
      <c r="F124" s="70" t="s">
        <v>213</v>
      </c>
      <c r="G124" s="26" t="s">
        <v>9</v>
      </c>
      <c r="H124" s="8" t="s">
        <v>10</v>
      </c>
      <c r="I124" s="8" t="s">
        <v>541</v>
      </c>
      <c r="J124" s="8" t="s">
        <v>141</v>
      </c>
      <c r="K124" s="9" t="s">
        <v>547</v>
      </c>
      <c r="L124" s="30" t="s">
        <v>545</v>
      </c>
      <c r="M124" s="31">
        <v>16.861999999999998</v>
      </c>
      <c r="N124" s="563" t="str" cm="1">
        <f t="array" ref="N124">_xlfn.XLOOKUP("?*",U124:Z124&amp;"",$U$3:$Z$3,S124,2,-1)</f>
        <v>R4</v>
      </c>
      <c r="O124" s="565" cm="1">
        <f t="array" ref="O124">_xlfn.XLOOKUP("?*",U124:Z124&amp;"",U124:Z124,T124,2,-1)</f>
        <v>16.7468</v>
      </c>
      <c r="P124" s="92"/>
      <c r="Q124" s="87"/>
      <c r="S124" s="76" t="s">
        <v>1302</v>
      </c>
      <c r="T124" s="34">
        <v>16.7501</v>
      </c>
      <c r="U124" s="39">
        <v>16.748100000000001</v>
      </c>
      <c r="V124" s="40"/>
      <c r="W124" s="40">
        <v>16.747399999999999</v>
      </c>
      <c r="X124" s="40"/>
      <c r="Y124" s="40">
        <v>16.7468</v>
      </c>
      <c r="Z124" s="40"/>
      <c r="AA124" s="41"/>
      <c r="AB124" s="81"/>
      <c r="AC124" s="21"/>
      <c r="AD124" s="442">
        <f t="shared" si="71"/>
        <v>1.9999999999988916</v>
      </c>
      <c r="AE124" s="443" t="str">
        <f t="shared" si="72"/>
        <v/>
      </c>
      <c r="AF124" s="443">
        <f t="shared" si="68"/>
        <v>0.70000000000192131</v>
      </c>
      <c r="AG124" s="478" t="str">
        <f t="shared" si="59"/>
        <v/>
      </c>
      <c r="AH124" s="443">
        <f t="shared" si="60"/>
        <v>0.59999999999860165</v>
      </c>
      <c r="AI124" s="441" t="str">
        <f t="shared" si="74"/>
        <v/>
      </c>
      <c r="AJ124" s="655" t="str">
        <f t="shared" si="73"/>
        <v/>
      </c>
      <c r="AM124" s="477" t="str" cm="1">
        <f t="array" ref="AM124">_xlfn.XLOOKUP("?*",U124:AA124&amp;"",$U$3:$AA$3,S124,2,-1)</f>
        <v>R4</v>
      </c>
      <c r="AN124" s="477" cm="1">
        <f t="array" ref="AN124">_xlfn.XLOOKUP("?*",U124:AA124&amp;"",U124:AA124,T124,2,-1)</f>
        <v>16.7468</v>
      </c>
      <c r="AO124" s="477" t="str" cm="1">
        <f t="array" ref="AO124">_xlfn.XLOOKUP("?*",U124:Z124&amp;"",$U$3:$Z$3,S124,2,-1)</f>
        <v>R4</v>
      </c>
      <c r="AP124" s="477" cm="1">
        <f t="array" ref="AP124">_xlfn.XLOOKUP("?*",U124:Z124&amp;"",U124:Z124,T124,2,-1)</f>
        <v>16.7468</v>
      </c>
      <c r="AQ124" s="477" t="str" cm="1">
        <f t="array" ref="AQ124">_xlfn.XLOOKUP("?*",U124:Y124&amp;"",$U$3:$Y$3,S124,2,-1)</f>
        <v>R4</v>
      </c>
      <c r="AR124" s="477" cm="1">
        <f t="array" ref="AR124">_xlfn.XLOOKUP("?*",U124:Y124&amp;"",U124:Y124,T124,2,-1)</f>
        <v>16.7468</v>
      </c>
      <c r="AS124" s="477" t="str" cm="1">
        <f t="array" ref="AS124">_xlfn.XLOOKUP("?*",U124:X124&amp;"",$U$3:$X$3,S124,2,-1)</f>
        <v>R2</v>
      </c>
      <c r="AT124" s="477" cm="1">
        <f t="array" ref="AT124">_xlfn.XLOOKUP("?*",U124:X124&amp;"",U124:X124,T124,2,-1)</f>
        <v>16.747399999999999</v>
      </c>
      <c r="AU124" s="1" t="str">
        <f t="shared" si="61"/>
        <v>R2</v>
      </c>
      <c r="AV124" s="1">
        <f t="shared" si="62"/>
        <v>16.747399999999999</v>
      </c>
      <c r="AW124" s="1" t="str">
        <f t="shared" si="63"/>
        <v>H30</v>
      </c>
      <c r="AX124" s="1">
        <f t="shared" si="64"/>
        <v>16.748100000000001</v>
      </c>
    </row>
    <row r="125" spans="1:50" ht="17.100000000000001" customHeight="1">
      <c r="A125" s="502">
        <v>810</v>
      </c>
      <c r="B125" s="503" t="s">
        <v>506</v>
      </c>
      <c r="C125" s="502" t="s">
        <v>196</v>
      </c>
      <c r="D125" s="504" t="s">
        <v>1105</v>
      </c>
      <c r="E125" s="504" t="s">
        <v>661</v>
      </c>
      <c r="F125" s="484" t="s">
        <v>215</v>
      </c>
      <c r="G125" s="485" t="s">
        <v>9</v>
      </c>
      <c r="H125" s="486" t="s">
        <v>10</v>
      </c>
      <c r="I125" s="486" t="s">
        <v>541</v>
      </c>
      <c r="J125" s="486" t="s">
        <v>54</v>
      </c>
      <c r="K125" s="487" t="s">
        <v>250</v>
      </c>
      <c r="L125" s="30" t="s">
        <v>543</v>
      </c>
      <c r="M125" s="31">
        <v>7.7603</v>
      </c>
      <c r="N125" s="563" t="str" cm="1">
        <f t="array" ref="N125">_xlfn.XLOOKUP("?*",U125:Z125&amp;"",$U$3:$Z$3,S125,2,-1)</f>
        <v>H27</v>
      </c>
      <c r="O125" s="565" cm="1">
        <f t="array" ref="O125">_xlfn.XLOOKUP("?*",U125:Z125&amp;"",U125:Z125,T125,2,-1)</f>
        <v>7.6492000000000004</v>
      </c>
      <c r="P125" s="92"/>
      <c r="Q125" s="87"/>
      <c r="S125" s="76" t="s">
        <v>1301</v>
      </c>
      <c r="T125" s="34">
        <v>7.6492000000000004</v>
      </c>
      <c r="U125" s="39"/>
      <c r="V125" s="40"/>
      <c r="W125" s="40"/>
      <c r="X125" s="40"/>
      <c r="Y125" s="40"/>
      <c r="Z125" s="40"/>
      <c r="AA125" s="41"/>
      <c r="AB125" s="81"/>
      <c r="AC125" s="21"/>
      <c r="AD125" s="442" t="str">
        <f t="shared" si="71"/>
        <v/>
      </c>
      <c r="AE125" s="443" t="str">
        <f t="shared" si="72"/>
        <v/>
      </c>
      <c r="AF125" s="443" t="str">
        <f t="shared" si="68"/>
        <v/>
      </c>
      <c r="AG125" s="478" t="str">
        <f t="shared" si="59"/>
        <v/>
      </c>
      <c r="AH125" s="443" t="str">
        <f t="shared" si="60"/>
        <v/>
      </c>
      <c r="AI125" s="441" t="str">
        <f t="shared" si="74"/>
        <v/>
      </c>
      <c r="AJ125" s="655" t="str">
        <f t="shared" si="73"/>
        <v/>
      </c>
      <c r="AM125" s="477" t="str" cm="1">
        <f t="array" ref="AM125">_xlfn.XLOOKUP("?*",U125:AA125&amp;"",$U$3:$AA$3,S125,2,-1)</f>
        <v>H27</v>
      </c>
      <c r="AN125" s="477" cm="1">
        <f t="array" ref="AN125">_xlfn.XLOOKUP("?*",U125:AA125&amp;"",U125:AA125,T125,2,-1)</f>
        <v>7.6492000000000004</v>
      </c>
      <c r="AO125" s="477" t="str" cm="1">
        <f t="array" ref="AO125">_xlfn.XLOOKUP("?*",U125:Z125&amp;"",$U$3:$Z$3,S125,2,-1)</f>
        <v>H27</v>
      </c>
      <c r="AP125" s="477" cm="1">
        <f t="array" ref="AP125">_xlfn.XLOOKUP("?*",U125:Z125&amp;"",U125:Z125,T125,2,-1)</f>
        <v>7.6492000000000004</v>
      </c>
      <c r="AQ125" s="477" t="str" cm="1">
        <f t="array" ref="AQ125">_xlfn.XLOOKUP("?*",U125:Y125&amp;"",$U$3:$Y$3,S125,2,-1)</f>
        <v>H27</v>
      </c>
      <c r="AR125" s="477" cm="1">
        <f t="array" ref="AR125">_xlfn.XLOOKUP("?*",U125:Y125&amp;"",U125:Y125,T125,2,-1)</f>
        <v>7.6492000000000004</v>
      </c>
      <c r="AS125" s="477" t="str" cm="1">
        <f t="array" ref="AS125">_xlfn.XLOOKUP("?*",U125:X125&amp;"",$U$3:$X$3,S125,2,-1)</f>
        <v>H27</v>
      </c>
      <c r="AT125" s="477" cm="1">
        <f t="array" ref="AT125">_xlfn.XLOOKUP("?*",U125:X125&amp;"",U125:X125,T125,2,-1)</f>
        <v>7.6492000000000004</v>
      </c>
      <c r="AU125" s="1" t="str">
        <f t="shared" si="61"/>
        <v>H27</v>
      </c>
      <c r="AV125" s="1">
        <f t="shared" si="62"/>
        <v>7.6492000000000004</v>
      </c>
      <c r="AW125" s="1" t="str">
        <f t="shared" si="63"/>
        <v>H27</v>
      </c>
      <c r="AX125" s="1">
        <f t="shared" si="64"/>
        <v>7.6492000000000004</v>
      </c>
    </row>
    <row r="126" spans="1:50" ht="17.100000000000001" customHeight="1">
      <c r="A126" s="10">
        <v>811</v>
      </c>
      <c r="B126" s="53" t="s">
        <v>508</v>
      </c>
      <c r="C126" s="10" t="s">
        <v>196</v>
      </c>
      <c r="D126" s="69" t="s">
        <v>1120</v>
      </c>
      <c r="E126" s="69" t="s">
        <v>1471</v>
      </c>
      <c r="F126" s="70" t="s">
        <v>1436</v>
      </c>
      <c r="G126" s="26" t="s">
        <v>9</v>
      </c>
      <c r="H126" s="8" t="s">
        <v>10</v>
      </c>
      <c r="I126" s="8" t="s">
        <v>64</v>
      </c>
      <c r="J126" s="8" t="s">
        <v>54</v>
      </c>
      <c r="K126" s="9" t="s">
        <v>250</v>
      </c>
      <c r="L126" s="30" t="s">
        <v>543</v>
      </c>
      <c r="M126" s="31">
        <v>6.6176000000000004</v>
      </c>
      <c r="N126" s="563" t="str" cm="1">
        <f t="array" ref="N126">_xlfn.XLOOKUP("?*",U126:Z126&amp;"",$U$3:$Z$3,S126,2,-1)</f>
        <v>R4</v>
      </c>
      <c r="O126" s="565" cm="1">
        <f t="array" ref="O126">_xlfn.XLOOKUP("?*",U126:Z126&amp;"",U126:Z126,T126,2,-1)</f>
        <v>6.4301000000000004</v>
      </c>
      <c r="P126" s="92"/>
      <c r="Q126" s="87"/>
      <c r="S126" s="76" t="s">
        <v>1315</v>
      </c>
      <c r="T126" s="34">
        <v>6.4584000000000001</v>
      </c>
      <c r="U126" s="39">
        <v>6.4494999999999996</v>
      </c>
      <c r="V126" s="40"/>
      <c r="W126" s="40">
        <v>6.4337</v>
      </c>
      <c r="X126" s="40"/>
      <c r="Y126" s="40">
        <v>6.4301000000000004</v>
      </c>
      <c r="Z126" s="40"/>
      <c r="AA126" s="41"/>
      <c r="AB126" s="81"/>
      <c r="AC126" s="21"/>
      <c r="AD126" s="442">
        <f t="shared" si="71"/>
        <v>8.9000000000005741</v>
      </c>
      <c r="AE126" s="443" t="str">
        <f t="shared" si="72"/>
        <v/>
      </c>
      <c r="AF126" s="443">
        <f t="shared" si="68"/>
        <v>15.799999999999592</v>
      </c>
      <c r="AG126" s="478" t="str">
        <f t="shared" si="59"/>
        <v/>
      </c>
      <c r="AH126" s="443">
        <f t="shared" si="60"/>
        <v>3.5999999999996035</v>
      </c>
      <c r="AI126" s="441" t="str">
        <f t="shared" si="74"/>
        <v/>
      </c>
      <c r="AJ126" s="655" t="str">
        <f t="shared" si="73"/>
        <v/>
      </c>
      <c r="AM126" s="477" t="str" cm="1">
        <f t="array" ref="AM126">_xlfn.XLOOKUP("?*",U126:AA126&amp;"",$U$3:$AA$3,S126,2,-1)</f>
        <v>R4</v>
      </c>
      <c r="AN126" s="477" cm="1">
        <f t="array" ref="AN126">_xlfn.XLOOKUP("?*",U126:AA126&amp;"",U126:AA126,T126,2,-1)</f>
        <v>6.4301000000000004</v>
      </c>
      <c r="AO126" s="477" t="str" cm="1">
        <f t="array" ref="AO126">_xlfn.XLOOKUP("?*",U126:Z126&amp;"",$U$3:$Z$3,S126,2,-1)</f>
        <v>R4</v>
      </c>
      <c r="AP126" s="477" cm="1">
        <f t="array" ref="AP126">_xlfn.XLOOKUP("?*",U126:Z126&amp;"",U126:Z126,T126,2,-1)</f>
        <v>6.4301000000000004</v>
      </c>
      <c r="AQ126" s="477" t="str" cm="1">
        <f t="array" ref="AQ126">_xlfn.XLOOKUP("?*",U126:Y126&amp;"",$U$3:$Y$3,S126,2,-1)</f>
        <v>R4</v>
      </c>
      <c r="AR126" s="477" cm="1">
        <f t="array" ref="AR126">_xlfn.XLOOKUP("?*",U126:Y126&amp;"",U126:Y126,T126,2,-1)</f>
        <v>6.4301000000000004</v>
      </c>
      <c r="AS126" s="477" t="str" cm="1">
        <f t="array" ref="AS126">_xlfn.XLOOKUP("?*",U126:X126&amp;"",$U$3:$X$3,S126,2,-1)</f>
        <v>R2</v>
      </c>
      <c r="AT126" s="477" cm="1">
        <f t="array" ref="AT126">_xlfn.XLOOKUP("?*",U126:X126&amp;"",U126:X126,T126,2,-1)</f>
        <v>6.4337</v>
      </c>
      <c r="AU126" s="1" t="str">
        <f t="shared" si="61"/>
        <v>R2</v>
      </c>
      <c r="AV126" s="1">
        <f t="shared" si="62"/>
        <v>6.4337</v>
      </c>
      <c r="AW126" s="1" t="str">
        <f t="shared" si="63"/>
        <v>H30</v>
      </c>
      <c r="AX126" s="1">
        <f t="shared" si="64"/>
        <v>6.4494999999999996</v>
      </c>
    </row>
    <row r="127" spans="1:50" ht="17.100000000000001" customHeight="1">
      <c r="A127" s="502">
        <v>812</v>
      </c>
      <c r="B127" s="503" t="s">
        <v>1365</v>
      </c>
      <c r="C127" s="502" t="s">
        <v>196</v>
      </c>
      <c r="D127" s="504" t="s">
        <v>325</v>
      </c>
      <c r="E127" s="504" t="s">
        <v>1471</v>
      </c>
      <c r="F127" s="484" t="s">
        <v>1437</v>
      </c>
      <c r="G127" s="485" t="s">
        <v>9</v>
      </c>
      <c r="H127" s="486" t="s">
        <v>10</v>
      </c>
      <c r="I127" s="486" t="s">
        <v>64</v>
      </c>
      <c r="J127" s="486" t="s">
        <v>54</v>
      </c>
      <c r="K127" s="487" t="s">
        <v>270</v>
      </c>
      <c r="L127" s="30"/>
      <c r="M127" s="31"/>
      <c r="N127" s="563" t="str" cm="1">
        <f t="array" ref="N127">_xlfn.XLOOKUP("?*",U127:Z127&amp;"",$U$3:$Z$3,S127,2,-1)</f>
        <v>-</v>
      </c>
      <c r="O127" s="565" t="str" cm="1">
        <f t="array" ref="O127">_xlfn.XLOOKUP("?*",U127:Z127&amp;"",U127:Z127,T127,2,-1)</f>
        <v>-</v>
      </c>
      <c r="P127" s="92"/>
      <c r="Q127" s="505"/>
      <c r="R127" s="3"/>
      <c r="S127" s="76" t="s">
        <v>1354</v>
      </c>
      <c r="T127" s="488" t="s">
        <v>1354</v>
      </c>
      <c r="U127" s="506"/>
      <c r="V127" s="507"/>
      <c r="W127" s="507"/>
      <c r="X127" s="507"/>
      <c r="Y127" s="507"/>
      <c r="Z127" s="507"/>
      <c r="AA127" s="508"/>
      <c r="AB127" s="81"/>
      <c r="AC127" s="509"/>
      <c r="AD127" s="510" t="str">
        <f t="shared" ref="AD127" si="75">IF(U127="","",-(U127-T127)*1000)</f>
        <v/>
      </c>
      <c r="AE127" s="511" t="str">
        <f t="shared" ref="AE127" si="76">IF(V127="","",IF(U127="",-(V127-T127)*1000,-(V127-U127)*1000))</f>
        <v/>
      </c>
      <c r="AF127" s="511" t="str">
        <f t="shared" si="68"/>
        <v/>
      </c>
      <c r="AG127" s="512" t="str">
        <f t="shared" si="59"/>
        <v/>
      </c>
      <c r="AH127" s="443" t="str">
        <f t="shared" si="60"/>
        <v/>
      </c>
      <c r="AI127" s="441" t="str">
        <f t="shared" si="74"/>
        <v/>
      </c>
      <c r="AJ127" s="655" t="str">
        <f t="shared" si="73"/>
        <v/>
      </c>
      <c r="AK127" s="14"/>
      <c r="AL127" s="14"/>
      <c r="AM127" s="477" t="str" cm="1">
        <f t="array" ref="AM127">_xlfn.XLOOKUP("?*",U127:AA127&amp;"",$U$3:$AA$3,S127,2,-1)</f>
        <v>-</v>
      </c>
      <c r="AN127" s="477" t="str" cm="1">
        <f t="array" ref="AN127">_xlfn.XLOOKUP("?*",U127:AA127&amp;"",U127:AA127,T127,2,-1)</f>
        <v>-</v>
      </c>
      <c r="AO127" s="477" t="str" cm="1">
        <f t="array" ref="AO127">_xlfn.XLOOKUP("?*",U127:Z127&amp;"",$U$3:$Z$3,S127,2,-1)</f>
        <v>-</v>
      </c>
      <c r="AP127" s="477" t="str" cm="1">
        <f t="array" ref="AP127">_xlfn.XLOOKUP("?*",U127:Z127&amp;"",U127:Z127,T127,2,-1)</f>
        <v>-</v>
      </c>
      <c r="AQ127" s="477" t="str" cm="1">
        <f t="array" ref="AQ127">_xlfn.XLOOKUP("?*",U127:Y127&amp;"",$U$3:$Y$3,S127,2,-1)</f>
        <v>-</v>
      </c>
      <c r="AR127" s="477" t="str" cm="1">
        <f t="array" ref="AR127">_xlfn.XLOOKUP("?*",U127:Y127&amp;"",U127:Y127,T127,2,-1)</f>
        <v>-</v>
      </c>
      <c r="AS127" s="477" t="str" cm="1">
        <f t="array" ref="AS127">_xlfn.XLOOKUP("?*",U127:X127&amp;"",$U$3:$X$3,S127,2,-1)</f>
        <v>-</v>
      </c>
      <c r="AT127" s="477" t="str" cm="1">
        <f t="array" ref="AT127">_xlfn.XLOOKUP("?*",U127:X127&amp;"",U127:X127,T127,2,-1)</f>
        <v>-</v>
      </c>
      <c r="AU127" s="14" t="str">
        <f t="shared" si="61"/>
        <v>-</v>
      </c>
      <c r="AV127" s="14" t="str">
        <f t="shared" si="62"/>
        <v>-</v>
      </c>
      <c r="AW127" s="14" t="str">
        <f t="shared" si="63"/>
        <v>-</v>
      </c>
      <c r="AX127" s="14" t="str">
        <f t="shared" si="64"/>
        <v>-</v>
      </c>
    </row>
    <row r="128" spans="1:50" ht="17.100000000000001" customHeight="1">
      <c r="A128" s="10">
        <v>813</v>
      </c>
      <c r="B128" s="53" t="s">
        <v>511</v>
      </c>
      <c r="C128" s="10" t="s">
        <v>196</v>
      </c>
      <c r="D128" s="69" t="s">
        <v>1107</v>
      </c>
      <c r="E128" s="69" t="s">
        <v>1471</v>
      </c>
      <c r="F128" s="70" t="s">
        <v>1438</v>
      </c>
      <c r="G128" s="26" t="s">
        <v>9</v>
      </c>
      <c r="H128" s="8" t="s">
        <v>320</v>
      </c>
      <c r="I128" s="8" t="s">
        <v>64</v>
      </c>
      <c r="J128" s="8" t="s">
        <v>54</v>
      </c>
      <c r="K128" s="9" t="s">
        <v>270</v>
      </c>
      <c r="L128" s="30" t="s">
        <v>544</v>
      </c>
      <c r="M128" s="31" t="s">
        <v>544</v>
      </c>
      <c r="N128" s="563" t="str" cm="1">
        <f t="array" ref="N128">_xlfn.XLOOKUP("?*",U128:Z128&amp;"",$U$3:$Z$3,S128,2,-1)</f>
        <v>R4</v>
      </c>
      <c r="O128" s="565" cm="1">
        <f t="array" ref="O128">_xlfn.XLOOKUP("?*",U128:Z128&amp;"",U128:Z128,T128,2,-1)</f>
        <v>4.2455999999999996</v>
      </c>
      <c r="P128" s="92"/>
      <c r="Q128" s="87"/>
      <c r="S128" s="76" t="s">
        <v>1298</v>
      </c>
      <c r="T128" s="34">
        <v>4.2819000000000003</v>
      </c>
      <c r="U128" s="39">
        <v>4.2672999999999996</v>
      </c>
      <c r="V128" s="40"/>
      <c r="W128" s="457"/>
      <c r="X128" s="40"/>
      <c r="Y128" s="40">
        <v>4.2455999999999996</v>
      </c>
      <c r="Z128" s="40"/>
      <c r="AA128" s="41"/>
      <c r="AB128" s="81"/>
      <c r="AC128" s="21"/>
      <c r="AD128" s="442">
        <f t="shared" si="71"/>
        <v>14.600000000000612</v>
      </c>
      <c r="AE128" s="443" t="str">
        <f t="shared" si="72"/>
        <v/>
      </c>
      <c r="AF128" s="443" t="str">
        <f t="shared" si="68"/>
        <v/>
      </c>
      <c r="AG128" s="478" t="str">
        <f t="shared" si="59"/>
        <v/>
      </c>
      <c r="AH128" s="443">
        <f t="shared" si="60"/>
        <v>21.700000000000053</v>
      </c>
      <c r="AI128" s="441" t="str">
        <f t="shared" si="74"/>
        <v/>
      </c>
      <c r="AJ128" s="655" t="str">
        <f t="shared" si="73"/>
        <v/>
      </c>
      <c r="AM128" s="477" t="str" cm="1">
        <f t="array" ref="AM128">_xlfn.XLOOKUP("?*",U128:AA128&amp;"",$U$3:$AA$3,S128,2,-1)</f>
        <v>R4</v>
      </c>
      <c r="AN128" s="477" cm="1">
        <f t="array" ref="AN128">_xlfn.XLOOKUP("?*",U128:AA128&amp;"",U128:AA128,T128,2,-1)</f>
        <v>4.2455999999999996</v>
      </c>
      <c r="AO128" s="477" t="str" cm="1">
        <f t="array" ref="AO128">_xlfn.XLOOKUP("?*",U128:Z128&amp;"",$U$3:$Z$3,S128,2,-1)</f>
        <v>R4</v>
      </c>
      <c r="AP128" s="477" cm="1">
        <f t="array" ref="AP128">_xlfn.XLOOKUP("?*",U128:Z128&amp;"",U128:Z128,T128,2,-1)</f>
        <v>4.2455999999999996</v>
      </c>
      <c r="AQ128" s="477" t="str" cm="1">
        <f t="array" ref="AQ128">_xlfn.XLOOKUP("?*",U128:Y128&amp;"",$U$3:$Y$3,S128,2,-1)</f>
        <v>R4</v>
      </c>
      <c r="AR128" s="477" cm="1">
        <f t="array" ref="AR128">_xlfn.XLOOKUP("?*",U128:Y128&amp;"",U128:Y128,T128,2,-1)</f>
        <v>4.2455999999999996</v>
      </c>
      <c r="AS128" s="477" t="str" cm="1">
        <f t="array" ref="AS128">_xlfn.XLOOKUP("?*",U128:X128&amp;"",$U$3:$X$3,S128,2,-1)</f>
        <v>H30</v>
      </c>
      <c r="AT128" s="477" cm="1">
        <f t="array" ref="AT128">_xlfn.XLOOKUP("?*",U128:X128&amp;"",U128:X128,T128,2,-1)</f>
        <v>4.2672999999999996</v>
      </c>
      <c r="AU128" s="1" t="str">
        <f t="shared" si="61"/>
        <v>H30</v>
      </c>
      <c r="AV128" s="1">
        <f t="shared" si="62"/>
        <v>4.2672999999999996</v>
      </c>
      <c r="AW128" s="1" t="str">
        <f t="shared" si="63"/>
        <v>H30</v>
      </c>
      <c r="AX128" s="1">
        <f t="shared" si="64"/>
        <v>4.2672999999999996</v>
      </c>
    </row>
    <row r="129" spans="1:50" ht="17.100000000000001" customHeight="1">
      <c r="A129" s="10">
        <v>814</v>
      </c>
      <c r="B129" s="53" t="s">
        <v>512</v>
      </c>
      <c r="C129" s="10" t="s">
        <v>196</v>
      </c>
      <c r="D129" s="69" t="s">
        <v>1101</v>
      </c>
      <c r="E129" s="69" t="s">
        <v>704</v>
      </c>
      <c r="F129" s="70" t="s">
        <v>1439</v>
      </c>
      <c r="G129" s="26" t="s">
        <v>9</v>
      </c>
      <c r="H129" s="8" t="s">
        <v>343</v>
      </c>
      <c r="I129" s="8" t="s">
        <v>541</v>
      </c>
      <c r="J129" s="8" t="s">
        <v>141</v>
      </c>
      <c r="K129" s="9" t="s">
        <v>547</v>
      </c>
      <c r="L129" s="30" t="s">
        <v>544</v>
      </c>
      <c r="M129" s="31" t="s">
        <v>544</v>
      </c>
      <c r="N129" s="563" t="str" cm="1">
        <f t="array" ref="N129">_xlfn.XLOOKUP("?*",U129:Z129&amp;"",$U$3:$Z$3,S129,2,-1)</f>
        <v>R2</v>
      </c>
      <c r="O129" s="565" cm="1">
        <f t="array" ref="O129">_xlfn.XLOOKUP("?*",U129:Z129&amp;"",U129:Z129,T129,2,-1)</f>
        <v>38.540500000000002</v>
      </c>
      <c r="P129" s="92"/>
      <c r="Q129" s="87"/>
      <c r="S129" s="76" t="s">
        <v>1300</v>
      </c>
      <c r="T129" s="34">
        <v>38.5443</v>
      </c>
      <c r="U129" s="39"/>
      <c r="V129" s="40"/>
      <c r="W129" s="40">
        <v>38.540500000000002</v>
      </c>
      <c r="X129" s="40"/>
      <c r="Y129" s="40"/>
      <c r="Z129" s="40"/>
      <c r="AA129" s="41"/>
      <c r="AB129" s="81"/>
      <c r="AC129" s="21"/>
      <c r="AD129" s="442" t="str">
        <f t="shared" si="71"/>
        <v/>
      </c>
      <c r="AE129" s="443" t="str">
        <f t="shared" si="72"/>
        <v/>
      </c>
      <c r="AF129" s="443">
        <f t="shared" si="68"/>
        <v>3.7999999999982492</v>
      </c>
      <c r="AG129" s="478" t="str">
        <f t="shared" si="59"/>
        <v/>
      </c>
      <c r="AH129" s="443" t="str">
        <f t="shared" si="60"/>
        <v/>
      </c>
      <c r="AI129" s="441" t="str">
        <f t="shared" si="74"/>
        <v/>
      </c>
      <c r="AJ129" s="655" t="str">
        <f t="shared" si="73"/>
        <v/>
      </c>
      <c r="AM129" s="477" t="str" cm="1">
        <f t="array" ref="AM129">_xlfn.XLOOKUP("?*",U129:AA129&amp;"",$U$3:$AA$3,S129,2,-1)</f>
        <v>R2</v>
      </c>
      <c r="AN129" s="477" cm="1">
        <f t="array" ref="AN129">_xlfn.XLOOKUP("?*",U129:AA129&amp;"",U129:AA129,T129,2,-1)</f>
        <v>38.540500000000002</v>
      </c>
      <c r="AO129" s="477" t="str" cm="1">
        <f t="array" ref="AO129">_xlfn.XLOOKUP("?*",U129:Z129&amp;"",$U$3:$Z$3,S129,2,-1)</f>
        <v>R2</v>
      </c>
      <c r="AP129" s="477" cm="1">
        <f t="array" ref="AP129">_xlfn.XLOOKUP("?*",U129:Z129&amp;"",U129:Z129,T129,2,-1)</f>
        <v>38.540500000000002</v>
      </c>
      <c r="AQ129" s="477" t="str" cm="1">
        <f t="array" ref="AQ129">_xlfn.XLOOKUP("?*",U129:Y129&amp;"",$U$3:$Y$3,S129,2,-1)</f>
        <v>R2</v>
      </c>
      <c r="AR129" s="477" cm="1">
        <f t="array" ref="AR129">_xlfn.XLOOKUP("?*",U129:Y129&amp;"",U129:Y129,T129,2,-1)</f>
        <v>38.540500000000002</v>
      </c>
      <c r="AS129" s="477" t="str" cm="1">
        <f t="array" ref="AS129">_xlfn.XLOOKUP("?*",U129:X129&amp;"",$U$3:$X$3,S129,2,-1)</f>
        <v>R2</v>
      </c>
      <c r="AT129" s="477" cm="1">
        <f t="array" ref="AT129">_xlfn.XLOOKUP("?*",U129:X129&amp;"",U129:X129,T129,2,-1)</f>
        <v>38.540500000000002</v>
      </c>
      <c r="AU129" s="1" t="str">
        <f t="shared" si="61"/>
        <v>R2</v>
      </c>
      <c r="AV129" s="1">
        <f t="shared" si="62"/>
        <v>38.540500000000002</v>
      </c>
      <c r="AW129" s="1" t="str">
        <f t="shared" si="63"/>
        <v>H27</v>
      </c>
      <c r="AX129" s="1">
        <f t="shared" si="64"/>
        <v>38.5443</v>
      </c>
    </row>
    <row r="130" spans="1:50" ht="17.100000000000001" customHeight="1">
      <c r="A130" s="10">
        <v>815</v>
      </c>
      <c r="B130" s="53" t="s">
        <v>513</v>
      </c>
      <c r="C130" s="10" t="s">
        <v>196</v>
      </c>
      <c r="D130" s="69" t="s">
        <v>576</v>
      </c>
      <c r="E130" s="69" t="s">
        <v>1472</v>
      </c>
      <c r="F130" s="70" t="s">
        <v>1440</v>
      </c>
      <c r="G130" s="26" t="s">
        <v>9</v>
      </c>
      <c r="H130" s="8" t="s">
        <v>345</v>
      </c>
      <c r="I130" s="8" t="s">
        <v>541</v>
      </c>
      <c r="J130" s="8" t="s">
        <v>141</v>
      </c>
      <c r="K130" s="9" t="s">
        <v>547</v>
      </c>
      <c r="L130" s="30" t="s">
        <v>544</v>
      </c>
      <c r="M130" s="31" t="s">
        <v>544</v>
      </c>
      <c r="N130" s="563" t="str" cm="1">
        <f t="array" ref="N130">_xlfn.XLOOKUP("?*",U130:Z130&amp;"",$U$3:$Z$3,S130,2,-1)</f>
        <v>R4</v>
      </c>
      <c r="O130" s="565" cm="1">
        <f t="array" ref="O130">_xlfn.XLOOKUP("?*",U130:Z130&amp;"",U130:Z130,T130,2,-1)</f>
        <v>31.727799999999998</v>
      </c>
      <c r="P130" s="92"/>
      <c r="Q130" s="87"/>
      <c r="S130" s="76" t="s">
        <v>1301</v>
      </c>
      <c r="T130" s="34">
        <v>31.7286</v>
      </c>
      <c r="U130" s="39"/>
      <c r="V130" s="40"/>
      <c r="W130" s="40">
        <v>31.7273</v>
      </c>
      <c r="X130" s="40"/>
      <c r="Y130" s="40">
        <v>31.727799999999998</v>
      </c>
      <c r="Z130" s="40"/>
      <c r="AA130" s="41"/>
      <c r="AB130" s="81"/>
      <c r="AC130" s="21"/>
      <c r="AD130" s="442" t="str">
        <f t="shared" si="71"/>
        <v/>
      </c>
      <c r="AE130" s="443" t="str">
        <f t="shared" si="72"/>
        <v/>
      </c>
      <c r="AF130" s="443">
        <f t="shared" si="68"/>
        <v>1.300000000000523</v>
      </c>
      <c r="AG130" s="478" t="str">
        <f t="shared" si="59"/>
        <v/>
      </c>
      <c r="AH130" s="443">
        <f t="shared" si="60"/>
        <v>-0.49999999999883471</v>
      </c>
      <c r="AI130" s="441" t="str">
        <f t="shared" si="74"/>
        <v/>
      </c>
      <c r="AJ130" s="655" t="str">
        <f t="shared" si="73"/>
        <v/>
      </c>
      <c r="AM130" s="477" t="str" cm="1">
        <f t="array" ref="AM130">_xlfn.XLOOKUP("?*",U130:AA130&amp;"",$U$3:$AA$3,S130,2,-1)</f>
        <v>R4</v>
      </c>
      <c r="AN130" s="477" cm="1">
        <f t="array" ref="AN130">_xlfn.XLOOKUP("?*",U130:AA130&amp;"",U130:AA130,T130,2,-1)</f>
        <v>31.727799999999998</v>
      </c>
      <c r="AO130" s="477" t="str" cm="1">
        <f t="array" ref="AO130">_xlfn.XLOOKUP("?*",U130:Z130&amp;"",$U$3:$Z$3,S130,2,-1)</f>
        <v>R4</v>
      </c>
      <c r="AP130" s="477" cm="1">
        <f t="array" ref="AP130">_xlfn.XLOOKUP("?*",U130:Z130&amp;"",U130:Z130,T130,2,-1)</f>
        <v>31.727799999999998</v>
      </c>
      <c r="AQ130" s="477" t="str" cm="1">
        <f t="array" ref="AQ130">_xlfn.XLOOKUP("?*",U130:Y130&amp;"",$U$3:$Y$3,S130,2,-1)</f>
        <v>R4</v>
      </c>
      <c r="AR130" s="477" cm="1">
        <f t="array" ref="AR130">_xlfn.XLOOKUP("?*",U130:Y130&amp;"",U130:Y130,T130,2,-1)</f>
        <v>31.727799999999998</v>
      </c>
      <c r="AS130" s="477" t="str" cm="1">
        <f t="array" ref="AS130">_xlfn.XLOOKUP("?*",U130:X130&amp;"",$U$3:$X$3,S130,2,-1)</f>
        <v>R2</v>
      </c>
      <c r="AT130" s="477" cm="1">
        <f t="array" ref="AT130">_xlfn.XLOOKUP("?*",U130:X130&amp;"",U130:X130,T130,2,-1)</f>
        <v>31.7273</v>
      </c>
      <c r="AU130" s="1" t="str">
        <f t="shared" si="61"/>
        <v>R2</v>
      </c>
      <c r="AV130" s="1">
        <f t="shared" si="62"/>
        <v>31.7273</v>
      </c>
      <c r="AW130" s="1" t="str">
        <f t="shared" si="63"/>
        <v>H27</v>
      </c>
      <c r="AX130" s="1">
        <f t="shared" si="64"/>
        <v>31.7286</v>
      </c>
    </row>
    <row r="131" spans="1:50" ht="17.100000000000001" customHeight="1">
      <c r="A131" s="10">
        <v>816</v>
      </c>
      <c r="B131" s="593">
        <v>3023</v>
      </c>
      <c r="C131" s="10" t="s">
        <v>1122</v>
      </c>
      <c r="D131" s="69" t="s">
        <v>1123</v>
      </c>
      <c r="E131" s="69" t="s">
        <v>1473</v>
      </c>
      <c r="F131" s="70" t="s">
        <v>1441</v>
      </c>
      <c r="G131" s="26" t="s">
        <v>1125</v>
      </c>
      <c r="H131" s="8" t="s">
        <v>1126</v>
      </c>
      <c r="I131" s="8" t="s">
        <v>1127</v>
      </c>
      <c r="J131" s="8" t="s">
        <v>1128</v>
      </c>
      <c r="K131" s="9" t="s">
        <v>1129</v>
      </c>
      <c r="L131" s="30" t="s">
        <v>545</v>
      </c>
      <c r="M131" s="31">
        <v>47.278399999999998</v>
      </c>
      <c r="N131" s="563" t="str" cm="1">
        <f t="array" ref="N131">_xlfn.XLOOKUP("?*",U131:Z131&amp;"",$U$3:$Z$3,S131,2,-1)</f>
        <v>R4</v>
      </c>
      <c r="O131" s="565" cm="1">
        <f t="array" ref="O131">_xlfn.XLOOKUP("?*",U131:Z131&amp;"",U131:Z131,T131,2,-1)</f>
        <v>9.8366000000000007</v>
      </c>
      <c r="P131" s="92"/>
      <c r="Q131" s="87"/>
      <c r="R131" s="1"/>
      <c r="S131" s="76" t="s">
        <v>603</v>
      </c>
      <c r="T131" s="34" t="s">
        <v>604</v>
      </c>
      <c r="U131" s="39">
        <v>9.8394999999999992</v>
      </c>
      <c r="V131" s="40"/>
      <c r="W131" s="40">
        <v>9.8359000000000005</v>
      </c>
      <c r="X131" s="40"/>
      <c r="Y131" s="40">
        <v>9.8366000000000007</v>
      </c>
      <c r="Z131" s="40"/>
      <c r="AA131" s="41"/>
      <c r="AB131" s="81"/>
      <c r="AC131" s="21"/>
      <c r="AD131" s="445"/>
      <c r="AE131" s="443" t="str">
        <f t="shared" si="72"/>
        <v/>
      </c>
      <c r="AF131" s="443">
        <f t="shared" si="68"/>
        <v>3.5999999999987153</v>
      </c>
      <c r="AG131" s="478" t="str">
        <f t="shared" si="59"/>
        <v/>
      </c>
      <c r="AH131" s="443">
        <f t="shared" si="60"/>
        <v>-0.70000000000014495</v>
      </c>
      <c r="AI131" s="441" t="str">
        <f t="shared" si="74"/>
        <v/>
      </c>
      <c r="AJ131" s="655" t="str">
        <f t="shared" si="73"/>
        <v/>
      </c>
      <c r="AM131" s="477" t="str" cm="1">
        <f t="array" ref="AM131">_xlfn.XLOOKUP("?*",U131:AA131&amp;"",$U$3:$AA$3,S131,2,-1)</f>
        <v>R4</v>
      </c>
      <c r="AN131" s="477" cm="1">
        <f t="array" ref="AN131">_xlfn.XLOOKUP("?*",U131:AA131&amp;"",U131:AA131,T131,2,-1)</f>
        <v>9.8366000000000007</v>
      </c>
      <c r="AO131" s="477" t="str" cm="1">
        <f t="array" ref="AO131">_xlfn.XLOOKUP("?*",U131:Z131&amp;"",$U$3:$Z$3,S131,2,-1)</f>
        <v>R4</v>
      </c>
      <c r="AP131" s="477" cm="1">
        <f t="array" ref="AP131">_xlfn.XLOOKUP("?*",U131:Z131&amp;"",U131:Z131,T131,2,-1)</f>
        <v>9.8366000000000007</v>
      </c>
      <c r="AQ131" s="477" t="str" cm="1">
        <f t="array" ref="AQ131">_xlfn.XLOOKUP("?*",U131:Y131&amp;"",$U$3:$Y$3,S131,2,-1)</f>
        <v>R4</v>
      </c>
      <c r="AR131" s="477" cm="1">
        <f t="array" ref="AR131">_xlfn.XLOOKUP("?*",U131:Y131&amp;"",U131:Y131,T131,2,-1)</f>
        <v>9.8366000000000007</v>
      </c>
      <c r="AS131" s="477" t="str" cm="1">
        <f t="array" ref="AS131">_xlfn.XLOOKUP("?*",U131:X131&amp;"",$U$3:$X$3,S131,2,-1)</f>
        <v>R2</v>
      </c>
      <c r="AT131" s="477" cm="1">
        <f t="array" ref="AT131">_xlfn.XLOOKUP("?*",U131:X131&amp;"",U131:X131,T131,2,-1)</f>
        <v>9.8359000000000005</v>
      </c>
      <c r="AU131" s="1" t="str">
        <f t="shared" si="61"/>
        <v>R2</v>
      </c>
      <c r="AV131" s="1">
        <f t="shared" si="62"/>
        <v>9.8359000000000005</v>
      </c>
      <c r="AW131" s="1" t="str">
        <f t="shared" si="63"/>
        <v>H30</v>
      </c>
      <c r="AX131" s="1">
        <f t="shared" si="64"/>
        <v>9.8394999999999992</v>
      </c>
    </row>
    <row r="132" spans="1:50" ht="17.100000000000001" customHeight="1">
      <c r="A132" s="10">
        <v>901</v>
      </c>
      <c r="B132" s="53" t="s">
        <v>354</v>
      </c>
      <c r="C132" s="10" t="s">
        <v>217</v>
      </c>
      <c r="D132" s="69" t="s">
        <v>1117</v>
      </c>
      <c r="E132" s="69" t="s">
        <v>1367</v>
      </c>
      <c r="F132" s="70" t="s">
        <v>219</v>
      </c>
      <c r="G132" s="26" t="s">
        <v>9</v>
      </c>
      <c r="H132" s="8" t="s">
        <v>31</v>
      </c>
      <c r="I132" s="8" t="s">
        <v>64</v>
      </c>
      <c r="J132" s="8" t="s">
        <v>220</v>
      </c>
      <c r="K132" s="9" t="s">
        <v>249</v>
      </c>
      <c r="L132" s="30" t="s">
        <v>545</v>
      </c>
      <c r="M132" s="31">
        <v>5.1375000000000002</v>
      </c>
      <c r="N132" s="563" t="str" cm="1">
        <f t="array" ref="N132">_xlfn.XLOOKUP("?*",U132:Z132&amp;"",$U$3:$Z$3,S132,2,-1)</f>
        <v>R3</v>
      </c>
      <c r="O132" s="565" cm="1">
        <f t="array" ref="O132">_xlfn.XLOOKUP("?*",U132:Z132&amp;"",U132:Z132,T132,2,-1)</f>
        <v>5.0468000000000002</v>
      </c>
      <c r="P132" s="92"/>
      <c r="Q132" s="87"/>
      <c r="S132" s="76" t="s">
        <v>1305</v>
      </c>
      <c r="T132" s="34">
        <v>5.0415000000000001</v>
      </c>
      <c r="U132" s="39"/>
      <c r="V132" s="40"/>
      <c r="W132" s="40"/>
      <c r="X132" s="40">
        <v>5.0468000000000002</v>
      </c>
      <c r="Y132" s="40"/>
      <c r="Z132" s="40"/>
      <c r="AA132" s="41"/>
      <c r="AB132" s="81"/>
      <c r="AC132" s="21"/>
      <c r="AD132" s="442" t="str">
        <f t="shared" ref="AD132:AD145" si="77">IF(U132="","",-(U132-T132)*1000)</f>
        <v/>
      </c>
      <c r="AE132" s="443" t="str">
        <f t="shared" si="72"/>
        <v/>
      </c>
      <c r="AF132" s="443" t="str">
        <f t="shared" si="68"/>
        <v/>
      </c>
      <c r="AG132" s="478">
        <f t="shared" si="59"/>
        <v>-5.3000000000000824</v>
      </c>
      <c r="AH132" s="443" t="str">
        <f t="shared" si="60"/>
        <v/>
      </c>
      <c r="AI132" s="441" t="str">
        <f t="shared" si="74"/>
        <v/>
      </c>
      <c r="AJ132" s="655" t="str">
        <f t="shared" si="73"/>
        <v/>
      </c>
      <c r="AM132" s="477" t="str" cm="1">
        <f t="array" ref="AM132">_xlfn.XLOOKUP("?*",U132:AA132&amp;"",$U$3:$AA$3,S132,2,-1)</f>
        <v>R3</v>
      </c>
      <c r="AN132" s="477" cm="1">
        <f t="array" ref="AN132">_xlfn.XLOOKUP("?*",U132:AA132&amp;"",U132:AA132,T132,2,-1)</f>
        <v>5.0468000000000002</v>
      </c>
      <c r="AO132" s="477" t="str" cm="1">
        <f t="array" ref="AO132">_xlfn.XLOOKUP("?*",U132:Z132&amp;"",$U$3:$Z$3,S132,2,-1)</f>
        <v>R3</v>
      </c>
      <c r="AP132" s="477" cm="1">
        <f t="array" ref="AP132">_xlfn.XLOOKUP("?*",U132:Z132&amp;"",U132:Z132,T132,2,-1)</f>
        <v>5.0468000000000002</v>
      </c>
      <c r="AQ132" s="477" t="str" cm="1">
        <f t="array" ref="AQ132">_xlfn.XLOOKUP("?*",U132:Y132&amp;"",$U$3:$Y$3,S132,2,-1)</f>
        <v>R3</v>
      </c>
      <c r="AR132" s="477" cm="1">
        <f t="array" ref="AR132">_xlfn.XLOOKUP("?*",U132:Y132&amp;"",U132:Y132,T132,2,-1)</f>
        <v>5.0468000000000002</v>
      </c>
      <c r="AS132" s="477" t="str" cm="1">
        <f t="array" ref="AS132">_xlfn.XLOOKUP("?*",U132:X132&amp;"",$U$3:$X$3,S132,2,-1)</f>
        <v>R3</v>
      </c>
      <c r="AT132" s="477" cm="1">
        <f t="array" ref="AT132">_xlfn.XLOOKUP("?*",U132:X132&amp;"",U132:X132,T132,2,-1)</f>
        <v>5.0468000000000002</v>
      </c>
      <c r="AU132" s="1" t="str">
        <f t="shared" si="61"/>
        <v>H28</v>
      </c>
      <c r="AV132" s="1">
        <f t="shared" si="62"/>
        <v>5.0415000000000001</v>
      </c>
      <c r="AW132" s="1" t="str">
        <f t="shared" si="63"/>
        <v>H28</v>
      </c>
      <c r="AX132" s="1">
        <f t="shared" si="64"/>
        <v>5.0415000000000001</v>
      </c>
    </row>
    <row r="133" spans="1:50" s="491" customFormat="1" ht="17.100000000000001" customHeight="1">
      <c r="A133" s="502">
        <v>902</v>
      </c>
      <c r="B133" s="503" t="s">
        <v>1366</v>
      </c>
      <c r="C133" s="502" t="s">
        <v>217</v>
      </c>
      <c r="D133" s="504" t="s">
        <v>1367</v>
      </c>
      <c r="E133" s="504" t="s">
        <v>1367</v>
      </c>
      <c r="F133" s="484" t="s">
        <v>299</v>
      </c>
      <c r="G133" s="485" t="s">
        <v>9</v>
      </c>
      <c r="H133" s="486" t="s">
        <v>31</v>
      </c>
      <c r="I133" s="486" t="s">
        <v>64</v>
      </c>
      <c r="J133" s="486" t="s">
        <v>220</v>
      </c>
      <c r="K133" s="487" t="s">
        <v>264</v>
      </c>
      <c r="L133" s="30"/>
      <c r="M133" s="31"/>
      <c r="N133" s="563" t="str" cm="1">
        <f t="array" ref="N133">_xlfn.XLOOKUP("?*",U133:Z133&amp;"",$U$3:$Z$3,S133,2,-1)</f>
        <v>-</v>
      </c>
      <c r="O133" s="565" t="str" cm="1">
        <f t="array" ref="O133">_xlfn.XLOOKUP("?*",U133:Z133&amp;"",U133:Z133,T133,2,-1)</f>
        <v>-</v>
      </c>
      <c r="P133" s="92"/>
      <c r="Q133" s="505"/>
      <c r="R133" s="3"/>
      <c r="S133" s="76" t="s">
        <v>1354</v>
      </c>
      <c r="T133" s="488" t="s">
        <v>1354</v>
      </c>
      <c r="U133" s="506"/>
      <c r="V133" s="507"/>
      <c r="W133" s="507"/>
      <c r="X133" s="507"/>
      <c r="Y133" s="507"/>
      <c r="Z133" s="507"/>
      <c r="AA133" s="508"/>
      <c r="AB133" s="81"/>
      <c r="AC133" s="509"/>
      <c r="AD133" s="510" t="str">
        <f t="shared" ref="AD133" si="78">IF(U133="","",-(U133-T133)*1000)</f>
        <v/>
      </c>
      <c r="AE133" s="511" t="str">
        <f t="shared" ref="AE133" si="79">IF(V133="","",IF(U133="",-(V133-T133)*1000,-(V133-U133)*1000))</f>
        <v/>
      </c>
      <c r="AF133" s="511" t="str">
        <f t="shared" si="68"/>
        <v/>
      </c>
      <c r="AG133" s="512" t="str">
        <f t="shared" ref="AG133:AG145" si="80">IF(X133="","",($AT133-$AV133)*(-1000))</f>
        <v/>
      </c>
      <c r="AH133" s="443" t="str">
        <f t="shared" ref="AH133:AH145" si="81">IF(Y133="","",($AR133-$AT133)*(-1000))</f>
        <v/>
      </c>
      <c r="AI133" s="441" t="str">
        <f t="shared" si="74"/>
        <v/>
      </c>
      <c r="AJ133" s="655" t="str">
        <f t="shared" si="73"/>
        <v/>
      </c>
      <c r="AK133" s="14"/>
      <c r="AL133" s="14"/>
      <c r="AM133" s="477" t="str" cm="1">
        <f t="array" ref="AM133">_xlfn.XLOOKUP("?*",U133:AA133&amp;"",$U$3:$AA$3,S133,2,-1)</f>
        <v>-</v>
      </c>
      <c r="AN133" s="477" t="str" cm="1">
        <f t="array" ref="AN133">_xlfn.XLOOKUP("?*",U133:AA133&amp;"",U133:AA133,T133,2,-1)</f>
        <v>-</v>
      </c>
      <c r="AO133" s="477" t="str" cm="1">
        <f t="array" ref="AO133">_xlfn.XLOOKUP("?*",U133:Z133&amp;"",$U$3:$Z$3,S133,2,-1)</f>
        <v>-</v>
      </c>
      <c r="AP133" s="477" t="str" cm="1">
        <f t="array" ref="AP133">_xlfn.XLOOKUP("?*",U133:Z133&amp;"",U133:Z133,T133,2,-1)</f>
        <v>-</v>
      </c>
      <c r="AQ133" s="477" t="str" cm="1">
        <f t="array" ref="AQ133">_xlfn.XLOOKUP("?*",U133:Y133&amp;"",$U$3:$Y$3,S133,2,-1)</f>
        <v>-</v>
      </c>
      <c r="AR133" s="477" t="str" cm="1">
        <f t="array" ref="AR133">_xlfn.XLOOKUP("?*",U133:Y133&amp;"",U133:Y133,T133,2,-1)</f>
        <v>-</v>
      </c>
      <c r="AS133" s="477" t="str" cm="1">
        <f t="array" ref="AS133">_xlfn.XLOOKUP("?*",U133:X133&amp;"",$U$3:$X$3,S133,2,-1)</f>
        <v>-</v>
      </c>
      <c r="AT133" s="477" t="str" cm="1">
        <f t="array" ref="AT133">_xlfn.XLOOKUP("?*",U133:X133&amp;"",U133:X133,T133,2,-1)</f>
        <v>-</v>
      </c>
      <c r="AU133" s="14" t="str">
        <f t="shared" ref="AU133" si="82">IF(W133="",IF(V133="",IF(U133="",$S133,$U$3),$V$3),$W$3)</f>
        <v>-</v>
      </c>
      <c r="AV133" s="14" t="str">
        <f t="shared" ref="AV133" si="83">IF(W133="",IF(V133="",IF(U133="",T133,U133),V133),W133)</f>
        <v>-</v>
      </c>
      <c r="AW133" s="14" t="str">
        <f t="shared" ref="AW133" si="84">IF(V133="",IF(U133="",$S133,$U$3),$V$3)</f>
        <v>-</v>
      </c>
      <c r="AX133" s="14" t="str">
        <f t="shared" ref="AX133" si="85">IF(V133="",IF(U133="",T133,U133),V133)</f>
        <v>-</v>
      </c>
    </row>
    <row r="134" spans="1:50" ht="17.100000000000001" customHeight="1">
      <c r="A134" s="10">
        <v>903</v>
      </c>
      <c r="B134" s="53" t="s">
        <v>356</v>
      </c>
      <c r="C134" s="10" t="s">
        <v>217</v>
      </c>
      <c r="D134" s="69" t="s">
        <v>1484</v>
      </c>
      <c r="E134" s="69" t="s">
        <v>1396</v>
      </c>
      <c r="F134" s="70" t="s">
        <v>222</v>
      </c>
      <c r="G134" s="26" t="s">
        <v>70</v>
      </c>
      <c r="H134" s="8" t="s">
        <v>223</v>
      </c>
      <c r="I134" s="8" t="s">
        <v>541</v>
      </c>
      <c r="J134" s="8" t="s">
        <v>220</v>
      </c>
      <c r="K134" s="9" t="s">
        <v>249</v>
      </c>
      <c r="L134" s="30" t="s">
        <v>545</v>
      </c>
      <c r="M134" s="31">
        <v>4.5270000000000001</v>
      </c>
      <c r="N134" s="563" t="str" cm="1">
        <f t="array" ref="N134">_xlfn.XLOOKUP("?*",U134:Z134&amp;"",$U$3:$Z$3,S134,2,-1)</f>
        <v>R3</v>
      </c>
      <c r="O134" s="565" cm="1">
        <f t="array" ref="O134">_xlfn.XLOOKUP("?*",U134:Z134&amp;"",U134:Z134,T134,2,-1)</f>
        <v>4.4196</v>
      </c>
      <c r="P134" s="92"/>
      <c r="Q134" s="87"/>
      <c r="S134" s="76" t="s">
        <v>1305</v>
      </c>
      <c r="T134" s="34">
        <v>4.4158999999999997</v>
      </c>
      <c r="U134" s="39"/>
      <c r="V134" s="40"/>
      <c r="W134" s="40"/>
      <c r="X134" s="40">
        <v>4.4196</v>
      </c>
      <c r="Y134" s="40"/>
      <c r="Z134" s="40"/>
      <c r="AA134" s="41">
        <v>4.4172000000000002</v>
      </c>
      <c r="AB134" s="81"/>
      <c r="AC134" s="21"/>
      <c r="AD134" s="442" t="str">
        <f t="shared" si="77"/>
        <v/>
      </c>
      <c r="AE134" s="443" t="str">
        <f t="shared" si="72"/>
        <v/>
      </c>
      <c r="AF134" s="443" t="str">
        <f t="shared" si="68"/>
        <v/>
      </c>
      <c r="AG134" s="478">
        <f t="shared" si="80"/>
        <v>-3.7000000000002586</v>
      </c>
      <c r="AH134" s="443" t="str">
        <f t="shared" si="81"/>
        <v/>
      </c>
      <c r="AI134" s="441" t="str">
        <f t="shared" si="74"/>
        <v/>
      </c>
      <c r="AJ134" s="655">
        <f t="shared" si="73"/>
        <v>2.3999999999997357</v>
      </c>
      <c r="AM134" s="477" t="str" cm="1">
        <f t="array" ref="AM134">_xlfn.XLOOKUP("?*",U134:AA134&amp;"",$U$3:$AA$3,S134,2,-1)</f>
        <v>R6</v>
      </c>
      <c r="AN134" s="477" cm="1">
        <f t="array" ref="AN134">_xlfn.XLOOKUP("?*",U134:AA134&amp;"",U134:AA134,T134,2,-1)</f>
        <v>4.4172000000000002</v>
      </c>
      <c r="AO134" s="477" t="str" cm="1">
        <f t="array" ref="AO134">_xlfn.XLOOKUP("?*",U134:Z134&amp;"",$U$3:$Z$3,S134,2,-1)</f>
        <v>R3</v>
      </c>
      <c r="AP134" s="477" cm="1">
        <f t="array" ref="AP134">_xlfn.XLOOKUP("?*",U134:Z134&amp;"",U134:Z134,T134,2,-1)</f>
        <v>4.4196</v>
      </c>
      <c r="AQ134" s="477" t="str" cm="1">
        <f t="array" ref="AQ134">_xlfn.XLOOKUP("?*",U134:Y134&amp;"",$U$3:$Y$3,S134,2,-1)</f>
        <v>R3</v>
      </c>
      <c r="AR134" s="477" cm="1">
        <f t="array" ref="AR134">_xlfn.XLOOKUP("?*",U134:Y134&amp;"",U134:Y134,T134,2,-1)</f>
        <v>4.4196</v>
      </c>
      <c r="AS134" s="477" t="str" cm="1">
        <f t="array" ref="AS134">_xlfn.XLOOKUP("?*",U134:X134&amp;"",$U$3:$X$3,S134,2,-1)</f>
        <v>R3</v>
      </c>
      <c r="AT134" s="477" cm="1">
        <f t="array" ref="AT134">_xlfn.XLOOKUP("?*",U134:X134&amp;"",U134:X134,T134,2,-1)</f>
        <v>4.4196</v>
      </c>
      <c r="AU134" s="1" t="str">
        <f t="shared" ref="AU134:AU145" si="86">IF(W134="",IF(V134="",IF(U134="",$S134,$U$3),$V$3),$W$3)</f>
        <v>H28</v>
      </c>
      <c r="AV134" s="1">
        <f t="shared" ref="AV134:AV145" si="87">IF(W134="",IF(V134="",IF(U134="",T134,U134),V134),W134)</f>
        <v>4.4158999999999997</v>
      </c>
      <c r="AW134" s="1" t="str">
        <f t="shared" ref="AW134:AW145" si="88">IF(V134="",IF(U134="",$S134,$U$3),$V$3)</f>
        <v>H28</v>
      </c>
      <c r="AX134" s="1">
        <f t="shared" ref="AX134:AX145" si="89">IF(V134="",IF(U134="",T134,U134),V134)</f>
        <v>4.4158999999999997</v>
      </c>
    </row>
    <row r="135" spans="1:50" ht="17.100000000000001" customHeight="1">
      <c r="A135" s="10">
        <v>904</v>
      </c>
      <c r="B135" s="593">
        <v>7402</v>
      </c>
      <c r="C135" s="10" t="s">
        <v>217</v>
      </c>
      <c r="D135" s="69" t="s">
        <v>1485</v>
      </c>
      <c r="E135" s="69" t="s">
        <v>1474</v>
      </c>
      <c r="F135" s="70" t="s">
        <v>1442</v>
      </c>
      <c r="G135" s="26" t="s">
        <v>12</v>
      </c>
      <c r="H135" s="8" t="s">
        <v>31</v>
      </c>
      <c r="I135" s="8" t="s">
        <v>541</v>
      </c>
      <c r="J135" s="8" t="s">
        <v>539</v>
      </c>
      <c r="K135" s="9" t="s">
        <v>252</v>
      </c>
      <c r="L135" s="30" t="s">
        <v>545</v>
      </c>
      <c r="M135" s="31">
        <v>17.433399999999999</v>
      </c>
      <c r="N135" s="563" t="str" cm="1">
        <f t="array" ref="N135">_xlfn.XLOOKUP("?*",U135:Z135&amp;"",$U$3:$Z$3,S135,2,-1)</f>
        <v>R3</v>
      </c>
      <c r="O135" s="565" cm="1">
        <f t="array" ref="O135">_xlfn.XLOOKUP("?*",U135:Z135&amp;"",U135:Z135,T135,2,-1)</f>
        <v>17.320599999999999</v>
      </c>
      <c r="P135" s="92"/>
      <c r="Q135" s="87"/>
      <c r="S135" s="76" t="s">
        <v>1306</v>
      </c>
      <c r="T135" s="34">
        <v>17.3232</v>
      </c>
      <c r="U135" s="39"/>
      <c r="V135" s="40"/>
      <c r="W135" s="40"/>
      <c r="X135" s="40">
        <v>17.320599999999999</v>
      </c>
      <c r="Y135" s="40"/>
      <c r="Z135" s="40"/>
      <c r="AA135" s="41"/>
      <c r="AB135" s="81"/>
      <c r="AC135" s="21"/>
      <c r="AD135" s="442" t="str">
        <f t="shared" si="77"/>
        <v/>
      </c>
      <c r="AE135" s="443" t="str">
        <f t="shared" si="72"/>
        <v/>
      </c>
      <c r="AF135" s="443" t="str">
        <f t="shared" ref="AF135:AF145" si="90">IF(W135="","",(AV135-AX135)*(-1000))</f>
        <v/>
      </c>
      <c r="AG135" s="478">
        <f t="shared" si="80"/>
        <v>2.6000000000010459</v>
      </c>
      <c r="AH135" s="443" t="str">
        <f t="shared" si="81"/>
        <v/>
      </c>
      <c r="AI135" s="441" t="str">
        <f t="shared" si="74"/>
        <v/>
      </c>
      <c r="AJ135" s="655" t="str">
        <f t="shared" si="73"/>
        <v/>
      </c>
      <c r="AM135" s="477" t="str" cm="1">
        <f t="array" ref="AM135">_xlfn.XLOOKUP("?*",U135:AA135&amp;"",$U$3:$AA$3,S135,2,-1)</f>
        <v>R3</v>
      </c>
      <c r="AN135" s="477" cm="1">
        <f t="array" ref="AN135">_xlfn.XLOOKUP("?*",U135:AA135&amp;"",U135:AA135,T135,2,-1)</f>
        <v>17.320599999999999</v>
      </c>
      <c r="AO135" s="477" t="str" cm="1">
        <f t="array" ref="AO135">_xlfn.XLOOKUP("?*",U135:Z135&amp;"",$U$3:$Z$3,S135,2,-1)</f>
        <v>R3</v>
      </c>
      <c r="AP135" s="477" cm="1">
        <f t="array" ref="AP135">_xlfn.XLOOKUP("?*",U135:Z135&amp;"",U135:Z135,T135,2,-1)</f>
        <v>17.320599999999999</v>
      </c>
      <c r="AQ135" s="477" t="str" cm="1">
        <f t="array" ref="AQ135">_xlfn.XLOOKUP("?*",U135:Y135&amp;"",$U$3:$Y$3,S135,2,-1)</f>
        <v>R3</v>
      </c>
      <c r="AR135" s="477" cm="1">
        <f t="array" ref="AR135">_xlfn.XLOOKUP("?*",U135:Y135&amp;"",U135:Y135,T135,2,-1)</f>
        <v>17.320599999999999</v>
      </c>
      <c r="AS135" s="477" t="str" cm="1">
        <f t="array" ref="AS135">_xlfn.XLOOKUP("?*",U135:X135&amp;"",$U$3:$X$3,S135,2,-1)</f>
        <v>R3</v>
      </c>
      <c r="AT135" s="477" cm="1">
        <f t="array" ref="AT135">_xlfn.XLOOKUP("?*",U135:X135&amp;"",U135:X135,T135,2,-1)</f>
        <v>17.320599999999999</v>
      </c>
      <c r="AU135" s="1" t="str">
        <f t="shared" si="86"/>
        <v>H28</v>
      </c>
      <c r="AV135" s="1">
        <f t="shared" si="87"/>
        <v>17.3232</v>
      </c>
      <c r="AW135" s="1" t="str">
        <f t="shared" si="88"/>
        <v>H28</v>
      </c>
      <c r="AX135" s="1">
        <f t="shared" si="89"/>
        <v>17.3232</v>
      </c>
    </row>
    <row r="136" spans="1:50" ht="17.100000000000001" customHeight="1">
      <c r="A136" s="10">
        <v>905</v>
      </c>
      <c r="B136" s="593">
        <v>7403</v>
      </c>
      <c r="C136" s="10" t="s">
        <v>217</v>
      </c>
      <c r="D136" s="69" t="s">
        <v>1486</v>
      </c>
      <c r="E136" s="69" t="s">
        <v>1475</v>
      </c>
      <c r="F136" s="70" t="s">
        <v>1488</v>
      </c>
      <c r="G136" s="26" t="s">
        <v>12</v>
      </c>
      <c r="H136" s="8" t="s">
        <v>31</v>
      </c>
      <c r="I136" s="8" t="s">
        <v>541</v>
      </c>
      <c r="J136" s="8" t="s">
        <v>11</v>
      </c>
      <c r="K136" s="9" t="s">
        <v>252</v>
      </c>
      <c r="L136" s="30" t="s">
        <v>545</v>
      </c>
      <c r="M136" s="31">
        <v>15.0762</v>
      </c>
      <c r="N136" s="563" t="str" cm="1">
        <f t="array" ref="N136">_xlfn.XLOOKUP("?*",U136:Z136&amp;"",$U$3:$Z$3,S136,2,-1)</f>
        <v>R3</v>
      </c>
      <c r="O136" s="565" cm="1">
        <f t="array" ref="O136">_xlfn.XLOOKUP("?*",U136:Z136&amp;"",U136:Z136,T136,2,-1)</f>
        <v>14.526300000000001</v>
      </c>
      <c r="P136" s="92"/>
      <c r="Q136" s="87"/>
      <c r="S136" s="76" t="s">
        <v>1306</v>
      </c>
      <c r="T136" s="34">
        <v>14.5266</v>
      </c>
      <c r="U136" s="39"/>
      <c r="V136" s="40"/>
      <c r="W136" s="457"/>
      <c r="X136" s="40">
        <v>14.526300000000001</v>
      </c>
      <c r="Y136" s="40"/>
      <c r="Z136" s="40"/>
      <c r="AA136" s="41">
        <v>14.526</v>
      </c>
      <c r="AB136" s="81"/>
      <c r="AC136" s="21"/>
      <c r="AD136" s="442" t="str">
        <f t="shared" si="77"/>
        <v/>
      </c>
      <c r="AE136" s="443" t="str">
        <f t="shared" si="72"/>
        <v/>
      </c>
      <c r="AF136" s="443" t="str">
        <f t="shared" si="90"/>
        <v/>
      </c>
      <c r="AG136" s="478">
        <f t="shared" si="80"/>
        <v>0.29999999999930083</v>
      </c>
      <c r="AH136" s="443" t="str">
        <f t="shared" si="81"/>
        <v/>
      </c>
      <c r="AI136" s="441" t="str">
        <f t="shared" si="74"/>
        <v/>
      </c>
      <c r="AJ136" s="655">
        <f t="shared" si="73"/>
        <v>0.30000000000107718</v>
      </c>
      <c r="AM136" s="477" t="str" cm="1">
        <f t="array" ref="AM136">_xlfn.XLOOKUP("?*",U136:AA136&amp;"",$U$3:$AA$3,S136,2,-1)</f>
        <v>R6</v>
      </c>
      <c r="AN136" s="477" cm="1">
        <f t="array" ref="AN136">_xlfn.XLOOKUP("?*",U136:AA136&amp;"",U136:AA136,T136,2,-1)</f>
        <v>14.526</v>
      </c>
      <c r="AO136" s="477" t="str" cm="1">
        <f t="array" ref="AO136">_xlfn.XLOOKUP("?*",U136:Z136&amp;"",$U$3:$Z$3,S136,2,-1)</f>
        <v>R3</v>
      </c>
      <c r="AP136" s="477" cm="1">
        <f t="array" ref="AP136">_xlfn.XLOOKUP("?*",U136:Z136&amp;"",U136:Z136,T136,2,-1)</f>
        <v>14.526300000000001</v>
      </c>
      <c r="AQ136" s="477" t="str" cm="1">
        <f t="array" ref="AQ136">_xlfn.XLOOKUP("?*",U136:Y136&amp;"",$U$3:$Y$3,S136,2,-1)</f>
        <v>R3</v>
      </c>
      <c r="AR136" s="477" cm="1">
        <f t="array" ref="AR136">_xlfn.XLOOKUP("?*",U136:Y136&amp;"",U136:Y136,T136,2,-1)</f>
        <v>14.526300000000001</v>
      </c>
      <c r="AS136" s="477" t="str" cm="1">
        <f t="array" ref="AS136">_xlfn.XLOOKUP("?*",U136:X136&amp;"",$U$3:$X$3,S136,2,-1)</f>
        <v>R3</v>
      </c>
      <c r="AT136" s="477" cm="1">
        <f t="array" ref="AT136">_xlfn.XLOOKUP("?*",U136:X136&amp;"",U136:X136,T136,2,-1)</f>
        <v>14.526300000000001</v>
      </c>
      <c r="AU136" s="1" t="str">
        <f t="shared" si="86"/>
        <v>H28</v>
      </c>
      <c r="AV136" s="1">
        <f t="shared" si="87"/>
        <v>14.5266</v>
      </c>
      <c r="AW136" s="1" t="str">
        <f t="shared" si="88"/>
        <v>H28</v>
      </c>
      <c r="AX136" s="1">
        <f t="shared" si="89"/>
        <v>14.5266</v>
      </c>
    </row>
    <row r="137" spans="1:50" ht="17.100000000000001" customHeight="1">
      <c r="A137" s="10">
        <v>906</v>
      </c>
      <c r="B137" s="593">
        <v>7404</v>
      </c>
      <c r="C137" s="10" t="s">
        <v>217</v>
      </c>
      <c r="D137" s="69" t="s">
        <v>674</v>
      </c>
      <c r="E137" s="69" t="s">
        <v>674</v>
      </c>
      <c r="F137" s="70" t="s">
        <v>1443</v>
      </c>
      <c r="G137" s="26" t="s">
        <v>12</v>
      </c>
      <c r="H137" s="8" t="s">
        <v>223</v>
      </c>
      <c r="I137" s="8" t="s">
        <v>541</v>
      </c>
      <c r="J137" s="8" t="s">
        <v>11</v>
      </c>
      <c r="K137" s="9" t="s">
        <v>252</v>
      </c>
      <c r="L137" s="30" t="s">
        <v>545</v>
      </c>
      <c r="M137" s="31">
        <v>11.271699999999999</v>
      </c>
      <c r="N137" s="563" t="str" cm="1">
        <f t="array" ref="N137">_xlfn.XLOOKUP("?*",U137:Z137&amp;"",$U$3:$Z$3,S137,2,-1)</f>
        <v>R3</v>
      </c>
      <c r="O137" s="565" cm="1">
        <f t="array" ref="O137">_xlfn.XLOOKUP("?*",U137:Z137&amp;"",U137:Z137,T137,2,-1)</f>
        <v>11.178599999999999</v>
      </c>
      <c r="P137" s="92"/>
      <c r="Q137" s="87"/>
      <c r="S137" s="76" t="s">
        <v>1306</v>
      </c>
      <c r="T137" s="34">
        <v>11.1755</v>
      </c>
      <c r="U137" s="39"/>
      <c r="V137" s="40"/>
      <c r="W137" s="40"/>
      <c r="X137" s="40">
        <v>11.178599999999999</v>
      </c>
      <c r="Y137" s="40"/>
      <c r="Z137" s="40"/>
      <c r="AA137" s="41">
        <v>11.0929</v>
      </c>
      <c r="AB137" s="81"/>
      <c r="AC137" s="21"/>
      <c r="AD137" s="442" t="str">
        <f t="shared" si="77"/>
        <v/>
      </c>
      <c r="AE137" s="443" t="str">
        <f t="shared" si="72"/>
        <v/>
      </c>
      <c r="AF137" s="443" t="str">
        <f t="shared" si="90"/>
        <v/>
      </c>
      <c r="AG137" s="478">
        <f t="shared" si="80"/>
        <v>-3.0999999999998806</v>
      </c>
      <c r="AH137" s="443" t="str">
        <f t="shared" si="81"/>
        <v/>
      </c>
      <c r="AI137" s="441" t="str">
        <f t="shared" si="74"/>
        <v/>
      </c>
      <c r="AJ137" s="655">
        <f t="shared" si="73"/>
        <v>85.699999999999221</v>
      </c>
      <c r="AM137" s="477" t="str" cm="1">
        <f t="array" ref="AM137">_xlfn.XLOOKUP("?*",U137:AA137&amp;"",$U$3:$AA$3,S137,2,-1)</f>
        <v>R6</v>
      </c>
      <c r="AN137" s="477" cm="1">
        <f t="array" ref="AN137">_xlfn.XLOOKUP("?*",U137:AA137&amp;"",U137:AA137,T137,2,-1)</f>
        <v>11.0929</v>
      </c>
      <c r="AO137" s="477" t="str" cm="1">
        <f t="array" ref="AO137">_xlfn.XLOOKUP("?*",U137:Z137&amp;"",$U$3:$Z$3,S137,2,-1)</f>
        <v>R3</v>
      </c>
      <c r="AP137" s="477" cm="1">
        <f t="array" ref="AP137">_xlfn.XLOOKUP("?*",U137:Z137&amp;"",U137:Z137,T137,2,-1)</f>
        <v>11.178599999999999</v>
      </c>
      <c r="AQ137" s="477" t="str" cm="1">
        <f t="array" ref="AQ137">_xlfn.XLOOKUP("?*",U137:Y137&amp;"",$U$3:$Y$3,S137,2,-1)</f>
        <v>R3</v>
      </c>
      <c r="AR137" s="477" cm="1">
        <f t="array" ref="AR137">_xlfn.XLOOKUP("?*",U137:Y137&amp;"",U137:Y137,T137,2,-1)</f>
        <v>11.178599999999999</v>
      </c>
      <c r="AS137" s="477" t="str" cm="1">
        <f t="array" ref="AS137">_xlfn.XLOOKUP("?*",U137:X137&amp;"",$U$3:$X$3,S137,2,-1)</f>
        <v>R3</v>
      </c>
      <c r="AT137" s="477" cm="1">
        <f t="array" ref="AT137">_xlfn.XLOOKUP("?*",U137:X137&amp;"",U137:X137,T137,2,-1)</f>
        <v>11.178599999999999</v>
      </c>
      <c r="AU137" s="1" t="str">
        <f t="shared" si="86"/>
        <v>H28</v>
      </c>
      <c r="AV137" s="1">
        <f t="shared" si="87"/>
        <v>11.1755</v>
      </c>
      <c r="AW137" s="1" t="str">
        <f t="shared" si="88"/>
        <v>H28</v>
      </c>
      <c r="AX137" s="1">
        <f t="shared" si="89"/>
        <v>11.1755</v>
      </c>
    </row>
    <row r="138" spans="1:50" ht="17.100000000000001" customHeight="1">
      <c r="A138" s="10">
        <v>907</v>
      </c>
      <c r="B138" s="53" t="s">
        <v>600</v>
      </c>
      <c r="C138" s="10" t="s">
        <v>217</v>
      </c>
      <c r="D138" s="69" t="s">
        <v>581</v>
      </c>
      <c r="E138" s="69" t="s">
        <v>581</v>
      </c>
      <c r="F138" s="70" t="s">
        <v>230</v>
      </c>
      <c r="G138" s="26" t="s">
        <v>12</v>
      </c>
      <c r="H138" s="8" t="s">
        <v>10</v>
      </c>
      <c r="I138" s="8" t="s">
        <v>541</v>
      </c>
      <c r="J138" s="8" t="s">
        <v>11</v>
      </c>
      <c r="K138" s="9" t="s">
        <v>252</v>
      </c>
      <c r="L138" s="30" t="s">
        <v>545</v>
      </c>
      <c r="M138" s="31">
        <v>25.476800000000001</v>
      </c>
      <c r="N138" s="563" t="str" cm="1">
        <f t="array" ref="N138">_xlfn.XLOOKUP("?*",U138:Z138&amp;"",$U$3:$Z$3,S138,2,-1)</f>
        <v>R3</v>
      </c>
      <c r="O138" s="565" cm="1">
        <f t="array" ref="O138">_xlfn.XLOOKUP("?*",U138:Z138&amp;"",U138:Z138,T138,2,-1)</f>
        <v>25.3736</v>
      </c>
      <c r="P138" s="92"/>
      <c r="Q138" s="87"/>
      <c r="S138" s="76" t="s">
        <v>1306</v>
      </c>
      <c r="T138" s="34">
        <v>25.377400000000002</v>
      </c>
      <c r="U138" s="39"/>
      <c r="V138" s="40"/>
      <c r="W138" s="40"/>
      <c r="X138" s="40">
        <v>25.3736</v>
      </c>
      <c r="Y138" s="40"/>
      <c r="Z138" s="40"/>
      <c r="AA138" s="41">
        <v>25.373000000000001</v>
      </c>
      <c r="AB138" s="81"/>
      <c r="AC138" s="21"/>
      <c r="AD138" s="442" t="str">
        <f t="shared" si="77"/>
        <v/>
      </c>
      <c r="AE138" s="443" t="str">
        <f t="shared" si="72"/>
        <v/>
      </c>
      <c r="AF138" s="443" t="str">
        <f t="shared" si="90"/>
        <v/>
      </c>
      <c r="AG138" s="478">
        <f t="shared" si="80"/>
        <v>3.8000000000018019</v>
      </c>
      <c r="AH138" s="443" t="str">
        <f t="shared" si="81"/>
        <v/>
      </c>
      <c r="AI138" s="441" t="str">
        <f t="shared" si="74"/>
        <v/>
      </c>
      <c r="AJ138" s="655">
        <f t="shared" si="73"/>
        <v>0.59999999999860165</v>
      </c>
      <c r="AM138" s="477" t="str" cm="1">
        <f t="array" ref="AM138">_xlfn.XLOOKUP("?*",U138:AA138&amp;"",$U$3:$AA$3,S138,2,-1)</f>
        <v>R6</v>
      </c>
      <c r="AN138" s="477" cm="1">
        <f t="array" ref="AN138">_xlfn.XLOOKUP("?*",U138:AA138&amp;"",U138:AA138,T138,2,-1)</f>
        <v>25.373000000000001</v>
      </c>
      <c r="AO138" s="477" t="str" cm="1">
        <f t="array" ref="AO138">_xlfn.XLOOKUP("?*",U138:Z138&amp;"",$U$3:$Z$3,S138,2,-1)</f>
        <v>R3</v>
      </c>
      <c r="AP138" s="477" cm="1">
        <f t="array" ref="AP138">_xlfn.XLOOKUP("?*",U138:Z138&amp;"",U138:Z138,T138,2,-1)</f>
        <v>25.3736</v>
      </c>
      <c r="AQ138" s="477" t="str" cm="1">
        <f t="array" ref="AQ138">_xlfn.XLOOKUP("?*",U138:Y138&amp;"",$U$3:$Y$3,S138,2,-1)</f>
        <v>R3</v>
      </c>
      <c r="AR138" s="477" cm="1">
        <f t="array" ref="AR138">_xlfn.XLOOKUP("?*",U138:Y138&amp;"",U138:Y138,T138,2,-1)</f>
        <v>25.3736</v>
      </c>
      <c r="AS138" s="477" t="str" cm="1">
        <f t="array" ref="AS138">_xlfn.XLOOKUP("?*",U138:X138&amp;"",$U$3:$X$3,S138,2,-1)</f>
        <v>R3</v>
      </c>
      <c r="AT138" s="477" cm="1">
        <f t="array" ref="AT138">_xlfn.XLOOKUP("?*",U138:X138&amp;"",U138:X138,T138,2,-1)</f>
        <v>25.3736</v>
      </c>
      <c r="AU138" s="1" t="str">
        <f t="shared" si="86"/>
        <v>H28</v>
      </c>
      <c r="AV138" s="1">
        <f t="shared" si="87"/>
        <v>25.377400000000002</v>
      </c>
      <c r="AW138" s="1" t="str">
        <f t="shared" si="88"/>
        <v>H28</v>
      </c>
      <c r="AX138" s="1">
        <f t="shared" si="89"/>
        <v>25.377400000000002</v>
      </c>
    </row>
    <row r="139" spans="1:50" ht="17.100000000000001" customHeight="1">
      <c r="A139" s="10">
        <v>908</v>
      </c>
      <c r="B139" s="53" t="s">
        <v>358</v>
      </c>
      <c r="C139" s="10" t="s">
        <v>217</v>
      </c>
      <c r="D139" s="69" t="s">
        <v>1104</v>
      </c>
      <c r="E139" s="69" t="s">
        <v>1476</v>
      </c>
      <c r="F139" s="70" t="s">
        <v>1444</v>
      </c>
      <c r="G139" s="26" t="s">
        <v>9</v>
      </c>
      <c r="H139" s="8" t="s">
        <v>10</v>
      </c>
      <c r="I139" s="8" t="s">
        <v>541</v>
      </c>
      <c r="J139" s="8" t="s">
        <v>54</v>
      </c>
      <c r="K139" s="9" t="s">
        <v>249</v>
      </c>
      <c r="L139" s="30" t="s">
        <v>545</v>
      </c>
      <c r="M139" s="31">
        <v>5.1563999999999997</v>
      </c>
      <c r="N139" s="563" t="str" cm="1">
        <f t="array" ref="N139">_xlfn.XLOOKUP("?*",U139:Z139&amp;"",$U$3:$Z$3,S139,2,-1)</f>
        <v>R3</v>
      </c>
      <c r="O139" s="565" cm="1">
        <f t="array" ref="O139">_xlfn.XLOOKUP("?*",U139:Z139&amp;"",U139:Z139,T139,2,-1)</f>
        <v>5.0652999999999997</v>
      </c>
      <c r="P139" s="92"/>
      <c r="Q139" s="87"/>
      <c r="S139" s="76" t="s">
        <v>1305</v>
      </c>
      <c r="T139" s="34">
        <v>5.0617000000000001</v>
      </c>
      <c r="U139" s="39"/>
      <c r="V139" s="40"/>
      <c r="W139" s="40"/>
      <c r="X139" s="40">
        <v>5.0652999999999997</v>
      </c>
      <c r="Y139" s="40"/>
      <c r="Z139" s="40"/>
      <c r="AA139" s="41">
        <v>5.0644</v>
      </c>
      <c r="AB139" s="81"/>
      <c r="AC139" s="21"/>
      <c r="AD139" s="442" t="str">
        <f t="shared" si="77"/>
        <v/>
      </c>
      <c r="AE139" s="443" t="str">
        <f t="shared" si="72"/>
        <v/>
      </c>
      <c r="AF139" s="443" t="str">
        <f t="shared" si="90"/>
        <v/>
      </c>
      <c r="AG139" s="478">
        <f t="shared" si="80"/>
        <v>-3.5999999999996035</v>
      </c>
      <c r="AH139" s="443" t="str">
        <f t="shared" si="81"/>
        <v/>
      </c>
      <c r="AI139" s="441" t="str">
        <f t="shared" si="74"/>
        <v/>
      </c>
      <c r="AJ139" s="655">
        <f>IF(AA139="","",($AN139-$AP139)*(-1000))</f>
        <v>0.89999999999967883</v>
      </c>
      <c r="AM139" s="477" t="str" cm="1">
        <f t="array" ref="AM139">_xlfn.XLOOKUP("?*",U139:AA139&amp;"",$U$3:$AA$3,S139,2,-1)</f>
        <v>R6</v>
      </c>
      <c r="AN139" s="477" cm="1">
        <f t="array" ref="AN139">_xlfn.XLOOKUP("?*",U139:AA139&amp;"",U139:AA139,T139,2,-1)</f>
        <v>5.0644</v>
      </c>
      <c r="AO139" s="477" t="str" cm="1">
        <f t="array" ref="AO139">_xlfn.XLOOKUP("?*",U139:Z139&amp;"",$U$3:$Z$3,S139,2,-1)</f>
        <v>R3</v>
      </c>
      <c r="AP139" s="477" cm="1">
        <f t="array" ref="AP139">_xlfn.XLOOKUP("?*",U139:Z139&amp;"",U139:Z139,T139,2,-1)</f>
        <v>5.0652999999999997</v>
      </c>
      <c r="AQ139" s="477" t="str" cm="1">
        <f t="array" ref="AQ139">_xlfn.XLOOKUP("?*",U139:Y139&amp;"",$U$3:$Y$3,S139,2,-1)</f>
        <v>R3</v>
      </c>
      <c r="AR139" s="477" cm="1">
        <f t="array" ref="AR139">_xlfn.XLOOKUP("?*",U139:Y139&amp;"",U139:Y139,T139,2,-1)</f>
        <v>5.0652999999999997</v>
      </c>
      <c r="AS139" s="477" t="str" cm="1">
        <f t="array" ref="AS139">_xlfn.XLOOKUP("?*",U139:X139&amp;"",$U$3:$X$3,S139,2,-1)</f>
        <v>R3</v>
      </c>
      <c r="AT139" s="477" cm="1">
        <f t="array" ref="AT139">_xlfn.XLOOKUP("?*",U139:X139&amp;"",U139:X139,T139,2,-1)</f>
        <v>5.0652999999999997</v>
      </c>
      <c r="AU139" s="1" t="str">
        <f t="shared" si="86"/>
        <v>H28</v>
      </c>
      <c r="AV139" s="1">
        <f t="shared" si="87"/>
        <v>5.0617000000000001</v>
      </c>
      <c r="AW139" s="1" t="str">
        <f t="shared" si="88"/>
        <v>H28</v>
      </c>
      <c r="AX139" s="1">
        <f t="shared" si="89"/>
        <v>5.0617000000000001</v>
      </c>
    </row>
    <row r="140" spans="1:50" ht="17.100000000000001" customHeight="1">
      <c r="A140" s="10">
        <v>909</v>
      </c>
      <c r="B140" s="593">
        <v>4611</v>
      </c>
      <c r="C140" s="10" t="s">
        <v>217</v>
      </c>
      <c r="D140" s="69" t="s">
        <v>1487</v>
      </c>
      <c r="E140" s="69" t="s">
        <v>1477</v>
      </c>
      <c r="F140" s="70" t="s">
        <v>233</v>
      </c>
      <c r="G140" s="26" t="s">
        <v>12</v>
      </c>
      <c r="H140" s="8" t="s">
        <v>31</v>
      </c>
      <c r="I140" s="8" t="s">
        <v>541</v>
      </c>
      <c r="J140" s="8" t="s">
        <v>54</v>
      </c>
      <c r="K140" s="9" t="s">
        <v>249</v>
      </c>
      <c r="L140" s="30" t="s">
        <v>545</v>
      </c>
      <c r="M140" s="31">
        <v>4.2488999999999999</v>
      </c>
      <c r="N140" s="563" t="str" cm="1">
        <f t="array" ref="N140">_xlfn.XLOOKUP("?*",U140:Z140&amp;"",$U$3:$Z$3,S140,2,-1)</f>
        <v>R3</v>
      </c>
      <c r="O140" s="565" cm="1">
        <f t="array" ref="O140">_xlfn.XLOOKUP("?*",U140:Z140&amp;"",U140:Z140,T140,2,-1)</f>
        <v>4.1519000000000004</v>
      </c>
      <c r="P140" s="92"/>
      <c r="Q140" s="87"/>
      <c r="S140" s="76" t="s">
        <v>1305</v>
      </c>
      <c r="T140" s="34">
        <v>4.1492000000000004</v>
      </c>
      <c r="U140" s="39"/>
      <c r="V140" s="40"/>
      <c r="W140" s="40"/>
      <c r="X140" s="40">
        <v>4.1519000000000004</v>
      </c>
      <c r="Y140" s="40"/>
      <c r="Z140" s="40"/>
      <c r="AA140" s="41">
        <v>4.1501999999999999</v>
      </c>
      <c r="AB140" s="81"/>
      <c r="AC140" s="21"/>
      <c r="AD140" s="442" t="str">
        <f t="shared" si="77"/>
        <v/>
      </c>
      <c r="AE140" s="443" t="str">
        <f t="shared" si="72"/>
        <v/>
      </c>
      <c r="AF140" s="443" t="str">
        <f t="shared" si="90"/>
        <v/>
      </c>
      <c r="AG140" s="478">
        <f t="shared" si="80"/>
        <v>-2.6999999999999247</v>
      </c>
      <c r="AH140" s="443" t="str">
        <f t="shared" si="81"/>
        <v/>
      </c>
      <c r="AI140" s="441" t="str">
        <f>IF(Z140="","",($AP140-$AR140)*(-1000))</f>
        <v/>
      </c>
      <c r="AJ140" s="655">
        <f t="shared" ref="AJ140:AJ145" si="91">IF(AA140="","",($AN140-$AP140)*(-1000))</f>
        <v>1.7000000000004789</v>
      </c>
      <c r="AM140" s="477" t="str" cm="1">
        <f t="array" ref="AM140">_xlfn.XLOOKUP("?*",U140:AA140&amp;"",$U$3:$AA$3,S140,2,-1)</f>
        <v>R6</v>
      </c>
      <c r="AN140" s="477" cm="1">
        <f t="array" ref="AN140">_xlfn.XLOOKUP("?*",U140:AA140&amp;"",U140:AA140,T140,2,-1)</f>
        <v>4.1501999999999999</v>
      </c>
      <c r="AO140" s="477" t="str" cm="1">
        <f t="array" ref="AO140">_xlfn.XLOOKUP("?*",U140:Z140&amp;"",$U$3:$Z$3,S140,2,-1)</f>
        <v>R3</v>
      </c>
      <c r="AP140" s="477" cm="1">
        <f t="array" ref="AP140">_xlfn.XLOOKUP("?*",U140:Z140&amp;"",U140:Z140,T140,2,-1)</f>
        <v>4.1519000000000004</v>
      </c>
      <c r="AQ140" s="477" t="str" cm="1">
        <f t="array" ref="AQ140">_xlfn.XLOOKUP("?*",U140:Y140&amp;"",$U$3:$Y$3,S140,2,-1)</f>
        <v>R3</v>
      </c>
      <c r="AR140" s="477" cm="1">
        <f t="array" ref="AR140">_xlfn.XLOOKUP("?*",U140:Y140&amp;"",U140:Y140,T140,2,-1)</f>
        <v>4.1519000000000004</v>
      </c>
      <c r="AS140" s="477" t="str" cm="1">
        <f t="array" ref="AS140">_xlfn.XLOOKUP("?*",U140:X140&amp;"",$U$3:$X$3,S140,2,-1)</f>
        <v>R3</v>
      </c>
      <c r="AT140" s="477" cm="1">
        <f t="array" ref="AT140">_xlfn.XLOOKUP("?*",U140:X140&amp;"",U140:X140,T140,2,-1)</f>
        <v>4.1519000000000004</v>
      </c>
      <c r="AU140" s="1" t="str">
        <f t="shared" si="86"/>
        <v>H28</v>
      </c>
      <c r="AV140" s="1">
        <f t="shared" si="87"/>
        <v>4.1492000000000004</v>
      </c>
      <c r="AW140" s="1" t="str">
        <f t="shared" si="88"/>
        <v>H28</v>
      </c>
      <c r="AX140" s="1">
        <f t="shared" si="89"/>
        <v>4.1492000000000004</v>
      </c>
    </row>
    <row r="141" spans="1:50" ht="17.100000000000001" customHeight="1">
      <c r="A141" s="10">
        <v>910</v>
      </c>
      <c r="B141" s="593">
        <v>7405</v>
      </c>
      <c r="C141" s="10" t="s">
        <v>217</v>
      </c>
      <c r="D141" s="69" t="s">
        <v>662</v>
      </c>
      <c r="E141" s="69" t="s">
        <v>662</v>
      </c>
      <c r="F141" s="70" t="s">
        <v>1445</v>
      </c>
      <c r="G141" s="26" t="s">
        <v>12</v>
      </c>
      <c r="H141" s="8" t="s">
        <v>10</v>
      </c>
      <c r="I141" s="8" t="s">
        <v>541</v>
      </c>
      <c r="J141" s="8" t="s">
        <v>11</v>
      </c>
      <c r="K141" s="9" t="s">
        <v>252</v>
      </c>
      <c r="L141" s="30" t="s">
        <v>545</v>
      </c>
      <c r="M141" s="31">
        <v>15.8865</v>
      </c>
      <c r="N141" s="563" t="str" cm="1">
        <f t="array" ref="N141">_xlfn.XLOOKUP("?*",U141:Z141&amp;"",$U$3:$Z$3,S141,2,-1)</f>
        <v>R3</v>
      </c>
      <c r="O141" s="565" cm="1">
        <f t="array" ref="O141">_xlfn.XLOOKUP("?*",U141:Z141&amp;"",U141:Z141,T141,2,-1)</f>
        <v>15.7712</v>
      </c>
      <c r="P141" s="92"/>
      <c r="Q141" s="87"/>
      <c r="S141" s="76" t="s">
        <v>1305</v>
      </c>
      <c r="T141" s="34">
        <v>15.7714</v>
      </c>
      <c r="U141" s="39"/>
      <c r="V141" s="40"/>
      <c r="W141" s="40"/>
      <c r="X141" s="40">
        <v>15.7712</v>
      </c>
      <c r="Y141" s="40"/>
      <c r="Z141" s="40"/>
      <c r="AA141" s="41">
        <v>15.7697</v>
      </c>
      <c r="AB141" s="81"/>
      <c r="AC141" s="21"/>
      <c r="AD141" s="442" t="str">
        <f t="shared" si="77"/>
        <v/>
      </c>
      <c r="AE141" s="443" t="str">
        <f t="shared" si="72"/>
        <v/>
      </c>
      <c r="AF141" s="443" t="str">
        <f t="shared" si="90"/>
        <v/>
      </c>
      <c r="AG141" s="478">
        <f t="shared" si="80"/>
        <v>0.19999999999953388</v>
      </c>
      <c r="AH141" s="443" t="str">
        <f t="shared" si="81"/>
        <v/>
      </c>
      <c r="AI141" s="441" t="str">
        <f t="shared" ref="AI141:AI145" si="92">IF(Z141="","",($AP141-$AR141)*(-1000))</f>
        <v/>
      </c>
      <c r="AJ141" s="655">
        <f t="shared" si="91"/>
        <v>1.5000000000000568</v>
      </c>
      <c r="AM141" s="477" t="str" cm="1">
        <f t="array" ref="AM141">_xlfn.XLOOKUP("?*",U141:AA141&amp;"",$U$3:$AA$3,S141,2,-1)</f>
        <v>R6</v>
      </c>
      <c r="AN141" s="477" cm="1">
        <f t="array" ref="AN141">_xlfn.XLOOKUP("?*",U141:AA141&amp;"",U141:AA141,T141,2,-1)</f>
        <v>15.7697</v>
      </c>
      <c r="AO141" s="477" t="str" cm="1">
        <f t="array" ref="AO141">_xlfn.XLOOKUP("?*",U141:Z141&amp;"",$U$3:$Z$3,S141,2,-1)</f>
        <v>R3</v>
      </c>
      <c r="AP141" s="477" cm="1">
        <f t="array" ref="AP141">_xlfn.XLOOKUP("?*",U141:Z141&amp;"",U141:Z141,T141,2,-1)</f>
        <v>15.7712</v>
      </c>
      <c r="AQ141" s="477" t="str" cm="1">
        <f t="array" ref="AQ141">_xlfn.XLOOKUP("?*",U141:Y141&amp;"",$U$3:$Y$3,S141,2,-1)</f>
        <v>R3</v>
      </c>
      <c r="AR141" s="477" cm="1">
        <f t="array" ref="AR141">_xlfn.XLOOKUP("?*",U141:Y141&amp;"",U141:Y141,T141,2,-1)</f>
        <v>15.7712</v>
      </c>
      <c r="AS141" s="477" t="str" cm="1">
        <f t="array" ref="AS141">_xlfn.XLOOKUP("?*",U141:X141&amp;"",$U$3:$X$3,S141,2,-1)</f>
        <v>R3</v>
      </c>
      <c r="AT141" s="477" cm="1">
        <f t="array" ref="AT141">_xlfn.XLOOKUP("?*",U141:X141&amp;"",U141:X141,T141,2,-1)</f>
        <v>15.7712</v>
      </c>
      <c r="AU141" s="1" t="str">
        <f t="shared" si="86"/>
        <v>H28</v>
      </c>
      <c r="AV141" s="1">
        <f t="shared" si="87"/>
        <v>15.7714</v>
      </c>
      <c r="AW141" s="1" t="str">
        <f t="shared" si="88"/>
        <v>H28</v>
      </c>
      <c r="AX141" s="1">
        <f t="shared" si="89"/>
        <v>15.7714</v>
      </c>
    </row>
    <row r="142" spans="1:50" ht="17.100000000000001" customHeight="1">
      <c r="A142" s="10">
        <v>911</v>
      </c>
      <c r="B142" s="53" t="s">
        <v>362</v>
      </c>
      <c r="C142" s="10" t="s">
        <v>217</v>
      </c>
      <c r="D142" s="69" t="s">
        <v>675</v>
      </c>
      <c r="E142" s="69" t="s">
        <v>675</v>
      </c>
      <c r="F142" s="70" t="s">
        <v>1446</v>
      </c>
      <c r="G142" s="26" t="s">
        <v>70</v>
      </c>
      <c r="H142" s="8" t="s">
        <v>10</v>
      </c>
      <c r="I142" s="8" t="s">
        <v>541</v>
      </c>
      <c r="J142" s="8" t="s">
        <v>54</v>
      </c>
      <c r="K142" s="9" t="s">
        <v>249</v>
      </c>
      <c r="L142" s="30" t="s">
        <v>543</v>
      </c>
      <c r="M142" s="31">
        <v>3.7389000000000001</v>
      </c>
      <c r="N142" s="563" t="str" cm="1">
        <f t="array" ref="N142">_xlfn.XLOOKUP("?*",U142:Z142&amp;"",$U$3:$Z$3,S142,2,-1)</f>
        <v>R5</v>
      </c>
      <c r="O142" s="565" cm="1">
        <f t="array" ref="O142">_xlfn.XLOOKUP("?*",U142:Z142&amp;"",U142:Z142,T142,2,-1)</f>
        <v>3.5257000000000001</v>
      </c>
      <c r="P142" s="92"/>
      <c r="Q142" s="87"/>
      <c r="S142" s="76" t="s">
        <v>1310</v>
      </c>
      <c r="T142" s="34">
        <v>3.5680000000000001</v>
      </c>
      <c r="U142" s="39"/>
      <c r="V142" s="40"/>
      <c r="W142" s="40"/>
      <c r="X142" s="40">
        <v>3.5266000000000002</v>
      </c>
      <c r="Y142" s="40"/>
      <c r="Z142" s="40">
        <v>3.5257000000000001</v>
      </c>
      <c r="AA142" s="41"/>
      <c r="AB142" s="81"/>
      <c r="AC142" s="21"/>
      <c r="AD142" s="442" t="str">
        <f t="shared" si="77"/>
        <v/>
      </c>
      <c r="AE142" s="443" t="str">
        <f t="shared" si="72"/>
        <v/>
      </c>
      <c r="AF142" s="443" t="str">
        <f t="shared" si="90"/>
        <v/>
      </c>
      <c r="AG142" s="478">
        <f t="shared" si="80"/>
        <v>41.399999999999878</v>
      </c>
      <c r="AH142" s="443" t="str">
        <f t="shared" si="81"/>
        <v/>
      </c>
      <c r="AI142" s="441">
        <f t="shared" si="92"/>
        <v>0.90000000000012292</v>
      </c>
      <c r="AJ142" s="655" t="str">
        <f t="shared" si="91"/>
        <v/>
      </c>
      <c r="AM142" s="477" t="str" cm="1">
        <f t="array" ref="AM142">_xlfn.XLOOKUP("?*",U142:AA142&amp;"",$U$3:$AA$3,S142,2,-1)</f>
        <v>R5</v>
      </c>
      <c r="AN142" s="477" cm="1">
        <f t="array" ref="AN142">_xlfn.XLOOKUP("?*",U142:AA142&amp;"",U142:AA142,T142,2,-1)</f>
        <v>3.5257000000000001</v>
      </c>
      <c r="AO142" s="477" t="str" cm="1">
        <f t="array" ref="AO142">_xlfn.XLOOKUP("?*",U142:Z142&amp;"",$U$3:$Z$3,S142,2,-1)</f>
        <v>R5</v>
      </c>
      <c r="AP142" s="477" cm="1">
        <f t="array" ref="AP142">_xlfn.XLOOKUP("?*",U142:Z142&amp;"",U142:Z142,T142,2,-1)</f>
        <v>3.5257000000000001</v>
      </c>
      <c r="AQ142" s="477" t="str" cm="1">
        <f t="array" ref="AQ142">_xlfn.XLOOKUP("?*",U142:Y142&amp;"",$U$3:$Y$3,S142,2,-1)</f>
        <v>R3</v>
      </c>
      <c r="AR142" s="477" cm="1">
        <f t="array" ref="AR142">_xlfn.XLOOKUP("?*",U142:Y142&amp;"",U142:Y142,T142,2,-1)</f>
        <v>3.5266000000000002</v>
      </c>
      <c r="AS142" s="477" t="str" cm="1">
        <f t="array" ref="AS142">_xlfn.XLOOKUP("?*",U142:X142&amp;"",$U$3:$X$3,S142,2,-1)</f>
        <v>R3</v>
      </c>
      <c r="AT142" s="477" cm="1">
        <f t="array" ref="AT142">_xlfn.XLOOKUP("?*",U142:X142&amp;"",U142:X142,T142,2,-1)</f>
        <v>3.5266000000000002</v>
      </c>
      <c r="AU142" s="1" t="str">
        <f t="shared" si="86"/>
        <v>H28</v>
      </c>
      <c r="AV142" s="1">
        <f t="shared" si="87"/>
        <v>3.5680000000000001</v>
      </c>
      <c r="AW142" s="1" t="str">
        <f t="shared" si="88"/>
        <v>H28</v>
      </c>
      <c r="AX142" s="1">
        <f t="shared" si="89"/>
        <v>3.5680000000000001</v>
      </c>
    </row>
    <row r="143" spans="1:50" ht="17.100000000000001" customHeight="1">
      <c r="A143" s="10">
        <v>1001</v>
      </c>
      <c r="B143" s="53" t="s">
        <v>515</v>
      </c>
      <c r="C143" s="10" t="s">
        <v>253</v>
      </c>
      <c r="D143" s="69" t="s">
        <v>663</v>
      </c>
      <c r="E143" s="69" t="s">
        <v>663</v>
      </c>
      <c r="F143" s="70" t="s">
        <v>174</v>
      </c>
      <c r="G143" s="26" t="s">
        <v>9</v>
      </c>
      <c r="H143" s="8" t="s">
        <v>127</v>
      </c>
      <c r="I143" s="8" t="s">
        <v>541</v>
      </c>
      <c r="J143" s="8" t="s">
        <v>141</v>
      </c>
      <c r="K143" s="9" t="s">
        <v>250</v>
      </c>
      <c r="L143" s="30" t="s">
        <v>545</v>
      </c>
      <c r="M143" s="31">
        <v>35.1282</v>
      </c>
      <c r="N143" s="563" t="str" cm="1">
        <f t="array" ref="N143">_xlfn.XLOOKUP("?*",U143:Z143&amp;"",$U$3:$Z$3,S143,2,-1)</f>
        <v>R4</v>
      </c>
      <c r="O143" s="565" cm="1">
        <f t="array" ref="O143">_xlfn.XLOOKUP("?*",U143:Z143&amp;"",U143:Z143,T143,2,-1)</f>
        <v>35.606699999999996</v>
      </c>
      <c r="P143" s="92"/>
      <c r="Q143" s="87"/>
      <c r="S143" s="76" t="s">
        <v>1301</v>
      </c>
      <c r="T143" s="34">
        <v>35.612499999999997</v>
      </c>
      <c r="U143" s="39"/>
      <c r="V143" s="40"/>
      <c r="W143" s="40">
        <v>35.611199999999997</v>
      </c>
      <c r="X143" s="40"/>
      <c r="Y143" s="40">
        <v>35.606699999999996</v>
      </c>
      <c r="Z143" s="40"/>
      <c r="AA143" s="41"/>
      <c r="AB143" s="81"/>
      <c r="AC143" s="21"/>
      <c r="AD143" s="442" t="str">
        <f t="shared" si="77"/>
        <v/>
      </c>
      <c r="AE143" s="443" t="str">
        <f t="shared" si="72"/>
        <v/>
      </c>
      <c r="AF143" s="443">
        <f t="shared" si="90"/>
        <v>1.300000000000523</v>
      </c>
      <c r="AG143" s="478" t="str">
        <f t="shared" si="80"/>
        <v/>
      </c>
      <c r="AH143" s="443">
        <f t="shared" si="81"/>
        <v>4.5000000000001705</v>
      </c>
      <c r="AI143" s="441" t="str">
        <f t="shared" si="92"/>
        <v/>
      </c>
      <c r="AJ143" s="655" t="str">
        <f t="shared" si="91"/>
        <v/>
      </c>
      <c r="AM143" s="477" t="str" cm="1">
        <f t="array" ref="AM143">_xlfn.XLOOKUP("?*",U143:AA143&amp;"",$U$3:$AA$3,S143,2,-1)</f>
        <v>R4</v>
      </c>
      <c r="AN143" s="477" cm="1">
        <f t="array" ref="AN143">_xlfn.XLOOKUP("?*",U143:AA143&amp;"",U143:AA143,T143,2,-1)</f>
        <v>35.606699999999996</v>
      </c>
      <c r="AO143" s="477" t="str" cm="1">
        <f t="array" ref="AO143">_xlfn.XLOOKUP("?*",U143:Z143&amp;"",$U$3:$Z$3,S143,2,-1)</f>
        <v>R4</v>
      </c>
      <c r="AP143" s="477" cm="1">
        <f t="array" ref="AP143">_xlfn.XLOOKUP("?*",U143:Z143&amp;"",U143:Z143,T143,2,-1)</f>
        <v>35.606699999999996</v>
      </c>
      <c r="AQ143" s="477" t="str" cm="1">
        <f t="array" ref="AQ143">_xlfn.XLOOKUP("?*",U143:Y143&amp;"",$U$3:$Y$3,S143,2,-1)</f>
        <v>R4</v>
      </c>
      <c r="AR143" s="477" cm="1">
        <f t="array" ref="AR143">_xlfn.XLOOKUP("?*",U143:Y143&amp;"",U143:Y143,T143,2,-1)</f>
        <v>35.606699999999996</v>
      </c>
      <c r="AS143" s="477" t="str" cm="1">
        <f t="array" ref="AS143">_xlfn.XLOOKUP("?*",U143:X143&amp;"",$U$3:$X$3,S143,2,-1)</f>
        <v>R2</v>
      </c>
      <c r="AT143" s="477" cm="1">
        <f t="array" ref="AT143">_xlfn.XLOOKUP("?*",U143:X143&amp;"",U143:X143,T143,2,-1)</f>
        <v>35.611199999999997</v>
      </c>
      <c r="AU143" s="1" t="str">
        <f t="shared" si="86"/>
        <v>R2</v>
      </c>
      <c r="AV143" s="1">
        <f t="shared" si="87"/>
        <v>35.611199999999997</v>
      </c>
      <c r="AW143" s="1" t="str">
        <f t="shared" si="88"/>
        <v>H27</v>
      </c>
      <c r="AX143" s="1">
        <f t="shared" si="89"/>
        <v>35.612499999999997</v>
      </c>
    </row>
    <row r="144" spans="1:50" ht="17.100000000000001" customHeight="1">
      <c r="A144" s="10">
        <v>1002</v>
      </c>
      <c r="B144" s="53" t="s">
        <v>517</v>
      </c>
      <c r="C144" s="10" t="s">
        <v>253</v>
      </c>
      <c r="D144" s="69" t="s">
        <v>706</v>
      </c>
      <c r="E144" s="69" t="s">
        <v>706</v>
      </c>
      <c r="F144" s="70" t="s">
        <v>1447</v>
      </c>
      <c r="G144" s="26" t="s">
        <v>9</v>
      </c>
      <c r="H144" s="8" t="s">
        <v>127</v>
      </c>
      <c r="I144" s="8" t="s">
        <v>541</v>
      </c>
      <c r="J144" s="8" t="s">
        <v>141</v>
      </c>
      <c r="K144" s="9" t="s">
        <v>547</v>
      </c>
      <c r="L144" s="30" t="s">
        <v>545</v>
      </c>
      <c r="M144" s="31">
        <v>44.191699999999997</v>
      </c>
      <c r="N144" s="563" t="str" cm="1">
        <f t="array" ref="N144">_xlfn.XLOOKUP("?*",U144:Z144&amp;"",$U$3:$Z$3,S144,2,-1)</f>
        <v>R4</v>
      </c>
      <c r="O144" s="565" cm="1">
        <f t="array" ref="O144">_xlfn.XLOOKUP("?*",U144:Z144&amp;"",U144:Z144,T144,2,-1)</f>
        <v>44.062100000000001</v>
      </c>
      <c r="P144" s="94"/>
      <c r="Q144" s="89"/>
      <c r="S144" s="76" t="s">
        <v>1301</v>
      </c>
      <c r="T144" s="34">
        <v>44.067100000000003</v>
      </c>
      <c r="U144" s="39"/>
      <c r="V144" s="40"/>
      <c r="W144" s="40">
        <v>44.064500000000002</v>
      </c>
      <c r="X144" s="40"/>
      <c r="Y144" s="40">
        <v>44.062100000000001</v>
      </c>
      <c r="Z144" s="40"/>
      <c r="AA144" s="41"/>
      <c r="AB144" s="84"/>
      <c r="AC144" s="24"/>
      <c r="AD144" s="442" t="str">
        <f t="shared" si="77"/>
        <v/>
      </c>
      <c r="AE144" s="443" t="str">
        <f t="shared" si="72"/>
        <v/>
      </c>
      <c r="AF144" s="443">
        <f t="shared" si="90"/>
        <v>2.6000000000010459</v>
      </c>
      <c r="AG144" s="478" t="str">
        <f t="shared" si="80"/>
        <v/>
      </c>
      <c r="AH144" s="443">
        <f t="shared" si="81"/>
        <v>2.400000000001512</v>
      </c>
      <c r="AI144" s="441" t="str">
        <f t="shared" si="92"/>
        <v/>
      </c>
      <c r="AJ144" s="655" t="str">
        <f t="shared" si="91"/>
        <v/>
      </c>
      <c r="AM144" s="477" t="str" cm="1">
        <f t="array" ref="AM144">_xlfn.XLOOKUP("?*",U144:AA144&amp;"",$U$3:$AA$3,S144,2,-1)</f>
        <v>R4</v>
      </c>
      <c r="AN144" s="477" cm="1">
        <f t="array" ref="AN144">_xlfn.XLOOKUP("?*",U144:AA144&amp;"",U144:AA144,T144,2,-1)</f>
        <v>44.062100000000001</v>
      </c>
      <c r="AO144" s="477" t="str" cm="1">
        <f t="array" ref="AO144">_xlfn.XLOOKUP("?*",U144:Z144&amp;"",$U$3:$Z$3,S144,2,-1)</f>
        <v>R4</v>
      </c>
      <c r="AP144" s="477" cm="1">
        <f t="array" ref="AP144">_xlfn.XLOOKUP("?*",U144:Z144&amp;"",U144:Z144,T144,2,-1)</f>
        <v>44.062100000000001</v>
      </c>
      <c r="AQ144" s="477" t="str" cm="1">
        <f t="array" ref="AQ144">_xlfn.XLOOKUP("?*",U144:Y144&amp;"",$U$3:$Y$3,S144,2,-1)</f>
        <v>R4</v>
      </c>
      <c r="AR144" s="477" cm="1">
        <f t="array" ref="AR144">_xlfn.XLOOKUP("?*",U144:Y144&amp;"",U144:Y144,T144,2,-1)</f>
        <v>44.062100000000001</v>
      </c>
      <c r="AS144" s="477" t="str" cm="1">
        <f t="array" ref="AS144">_xlfn.XLOOKUP("?*",U144:X144&amp;"",$U$3:$X$3,S144,2,-1)</f>
        <v>R2</v>
      </c>
      <c r="AT144" s="477" cm="1">
        <f t="array" ref="AT144">_xlfn.XLOOKUP("?*",U144:X144&amp;"",U144:X144,T144,2,-1)</f>
        <v>44.064500000000002</v>
      </c>
      <c r="AU144" s="1" t="str">
        <f t="shared" si="86"/>
        <v>R2</v>
      </c>
      <c r="AV144" s="1">
        <f t="shared" si="87"/>
        <v>44.064500000000002</v>
      </c>
      <c r="AW144" s="1" t="str">
        <f t="shared" si="88"/>
        <v>H27</v>
      </c>
      <c r="AX144" s="1">
        <f t="shared" si="89"/>
        <v>44.067100000000003</v>
      </c>
    </row>
    <row r="145" spans="1:50" ht="17.100000000000001" customHeight="1" thickBot="1">
      <c r="A145" s="15">
        <v>1003</v>
      </c>
      <c r="B145" s="54" t="s">
        <v>519</v>
      </c>
      <c r="C145" s="15" t="s">
        <v>294</v>
      </c>
      <c r="D145" s="72" t="s">
        <v>1093</v>
      </c>
      <c r="E145" s="72" t="s">
        <v>649</v>
      </c>
      <c r="F145" s="73" t="s">
        <v>179</v>
      </c>
      <c r="G145" s="27" t="s">
        <v>9</v>
      </c>
      <c r="H145" s="12" t="s">
        <v>10</v>
      </c>
      <c r="I145" s="12" t="s">
        <v>541</v>
      </c>
      <c r="J145" s="12" t="s">
        <v>141</v>
      </c>
      <c r="K145" s="13" t="s">
        <v>547</v>
      </c>
      <c r="L145" s="32" t="s">
        <v>545</v>
      </c>
      <c r="M145" s="33">
        <v>32.185699999999997</v>
      </c>
      <c r="N145" s="564" t="str" cm="1">
        <f t="array" ref="N145">_xlfn.XLOOKUP("?*",U145:Z145&amp;"",$U$3:$Z$3,S145,2,-1)</f>
        <v>R4</v>
      </c>
      <c r="O145" s="566" cm="1">
        <f t="array" ref="O145">_xlfn.XLOOKUP("?*",U145:Z145&amp;"",U145:Z145,T145,2,-1)</f>
        <v>32.077300000000001</v>
      </c>
      <c r="P145" s="95"/>
      <c r="Q145" s="90"/>
      <c r="S145" s="78" t="s">
        <v>1315</v>
      </c>
      <c r="T145" s="36">
        <v>32.078699999999998</v>
      </c>
      <c r="U145" s="48"/>
      <c r="V145" s="49"/>
      <c r="W145" s="49">
        <v>32.079900000000002</v>
      </c>
      <c r="X145" s="49"/>
      <c r="Y145" s="49">
        <v>32.077300000000001</v>
      </c>
      <c r="Z145" s="49"/>
      <c r="AA145" s="50"/>
      <c r="AB145" s="83"/>
      <c r="AC145" s="25"/>
      <c r="AD145" s="446" t="str">
        <f t="shared" si="77"/>
        <v/>
      </c>
      <c r="AE145" s="447" t="str">
        <f t="shared" si="72"/>
        <v/>
      </c>
      <c r="AF145" s="447">
        <f t="shared" si="90"/>
        <v>-1.2000000000043087</v>
      </c>
      <c r="AG145" s="447" t="str">
        <f t="shared" si="80"/>
        <v/>
      </c>
      <c r="AH145" s="447">
        <f t="shared" si="81"/>
        <v>2.6000000000010459</v>
      </c>
      <c r="AI145" s="447" t="str">
        <f t="shared" si="92"/>
        <v/>
      </c>
      <c r="AJ145" s="657" t="str">
        <f t="shared" si="91"/>
        <v/>
      </c>
      <c r="AM145" s="477" t="str" cm="1">
        <f t="array" ref="AM145">_xlfn.XLOOKUP("?*",U145:AA145&amp;"",$U$3:$AA$3,S145,2,-1)</f>
        <v>R4</v>
      </c>
      <c r="AN145" s="477" cm="1">
        <f t="array" ref="AN145">_xlfn.XLOOKUP("?*",U145:AA145&amp;"",U145:AA145,T145,2,-1)</f>
        <v>32.077300000000001</v>
      </c>
      <c r="AO145" s="477" t="str" cm="1">
        <f t="array" ref="AO145">_xlfn.XLOOKUP("?*",U145:Z145&amp;"",$U$3:$Z$3,S145,2,-1)</f>
        <v>R4</v>
      </c>
      <c r="AP145" s="477" cm="1">
        <f t="array" ref="AP145">_xlfn.XLOOKUP("?*",U145:Z145&amp;"",U145:Z145,T145,2,-1)</f>
        <v>32.077300000000001</v>
      </c>
      <c r="AQ145" s="477" t="str" cm="1">
        <f t="array" ref="AQ145">_xlfn.XLOOKUP("?*",U145:Y145&amp;"",$U$3:$Y$3,S145,2,-1)</f>
        <v>R4</v>
      </c>
      <c r="AR145" s="477" cm="1">
        <f t="array" ref="AR145">_xlfn.XLOOKUP("?*",U145:Y145&amp;"",U145:Y145,T145,2,-1)</f>
        <v>32.077300000000001</v>
      </c>
      <c r="AS145" s="477" t="str" cm="1">
        <f t="array" ref="AS145">_xlfn.XLOOKUP("?*",U145:X145&amp;"",$U$3:$X$3,S145,2,-1)</f>
        <v>R2</v>
      </c>
      <c r="AT145" s="477" cm="1">
        <f t="array" ref="AT145">_xlfn.XLOOKUP("?*",U145:X145&amp;"",U145:X145,T145,2,-1)</f>
        <v>32.079900000000002</v>
      </c>
      <c r="AU145" s="1" t="str">
        <f t="shared" si="86"/>
        <v>R2</v>
      </c>
      <c r="AV145" s="1">
        <f t="shared" si="87"/>
        <v>32.079900000000002</v>
      </c>
      <c r="AW145" s="1" t="str">
        <f t="shared" si="88"/>
        <v>H27</v>
      </c>
      <c r="AX145" s="1">
        <f t="shared" si="89"/>
        <v>32.078699999999998</v>
      </c>
    </row>
    <row r="146" spans="1:50" s="2" customFormat="1" ht="17.100000000000001" customHeight="1">
      <c r="A146" s="14"/>
      <c r="B146" s="51"/>
      <c r="C146" s="14"/>
      <c r="D146" s="74"/>
      <c r="E146" s="74"/>
      <c r="F146" s="74"/>
      <c r="G146" s="14"/>
      <c r="H146" s="14"/>
      <c r="I146" s="14"/>
      <c r="J146" s="14"/>
      <c r="K146" s="14"/>
      <c r="L146" s="4"/>
      <c r="M146" s="17"/>
      <c r="N146" s="79"/>
      <c r="O146" s="16"/>
      <c r="P146" s="91"/>
      <c r="Q146" s="85"/>
      <c r="S146" s="1"/>
      <c r="T146" s="17"/>
      <c r="U146" s="17"/>
      <c r="V146" s="17"/>
      <c r="W146" s="17"/>
      <c r="X146" s="17"/>
      <c r="Y146" s="17"/>
      <c r="Z146" s="17"/>
      <c r="AA146" s="17"/>
      <c r="AB146" s="79"/>
      <c r="AC146" s="16"/>
      <c r="AD146" s="17"/>
      <c r="AE146" s="17"/>
      <c r="AF146" s="17"/>
      <c r="AG146" s="17"/>
      <c r="AH146" s="17"/>
      <c r="AI146" s="17"/>
      <c r="AJ146" s="17"/>
    </row>
    <row r="147" spans="1:50" s="2" customFormat="1" ht="17.100000000000001" customHeight="1">
      <c r="A147" s="14"/>
      <c r="B147" s="51"/>
      <c r="C147" s="14"/>
      <c r="D147" s="74"/>
      <c r="E147" s="74"/>
      <c r="F147" s="74"/>
      <c r="G147" s="14"/>
      <c r="H147" s="14"/>
      <c r="I147" s="14"/>
      <c r="J147" s="14"/>
      <c r="K147" s="14"/>
      <c r="L147" s="4"/>
      <c r="M147" s="17"/>
      <c r="N147" s="79"/>
      <c r="O147" s="16"/>
      <c r="P147" s="91"/>
      <c r="Q147" s="85"/>
      <c r="S147" s="1"/>
      <c r="T147" s="17"/>
      <c r="U147" s="17"/>
      <c r="V147" s="17"/>
      <c r="W147" s="17"/>
      <c r="X147" s="17"/>
      <c r="Y147" s="17"/>
      <c r="Z147" s="17"/>
      <c r="AA147" s="17"/>
      <c r="AB147" s="79"/>
      <c r="AC147" s="16"/>
      <c r="AD147" s="17"/>
      <c r="AE147" s="17"/>
      <c r="AF147" s="17"/>
      <c r="AG147" s="17"/>
      <c r="AH147" s="17"/>
      <c r="AI147" s="17"/>
      <c r="AJ147" s="17"/>
    </row>
    <row r="148" spans="1:50" s="2" customFormat="1" ht="17.100000000000001" customHeight="1">
      <c r="A148" s="14"/>
      <c r="B148" s="51"/>
      <c r="C148" s="14"/>
      <c r="D148" s="74"/>
      <c r="E148" s="74"/>
      <c r="F148" s="74"/>
      <c r="G148" s="14"/>
      <c r="H148" s="14"/>
      <c r="I148" s="14"/>
      <c r="J148" s="14"/>
      <c r="K148" s="14"/>
      <c r="L148" s="4"/>
      <c r="M148" s="17"/>
      <c r="N148" s="79"/>
      <c r="O148" s="16"/>
      <c r="P148" s="91"/>
      <c r="Q148" s="85"/>
      <c r="S148" s="1"/>
      <c r="T148" s="17"/>
      <c r="U148" s="17"/>
      <c r="V148" s="17"/>
      <c r="W148" s="17"/>
      <c r="X148" s="17"/>
      <c r="Y148" s="17"/>
      <c r="Z148" s="17"/>
      <c r="AA148" s="17"/>
      <c r="AB148" s="79"/>
      <c r="AC148" s="16"/>
      <c r="AD148" s="17"/>
      <c r="AE148" s="17"/>
      <c r="AF148" s="17"/>
      <c r="AG148" s="17"/>
      <c r="AH148" s="17"/>
      <c r="AI148" s="17"/>
      <c r="AJ148" s="17"/>
    </row>
    <row r="149" spans="1:50" s="2" customFormat="1" ht="17.100000000000001" customHeight="1">
      <c r="A149" s="14"/>
      <c r="B149" s="51"/>
      <c r="C149" s="14"/>
      <c r="D149" s="74"/>
      <c r="E149" s="74"/>
      <c r="F149" s="74"/>
      <c r="G149" s="14"/>
      <c r="H149" s="14"/>
      <c r="I149" s="14"/>
      <c r="J149" s="14"/>
      <c r="K149" s="14"/>
      <c r="L149" s="4"/>
      <c r="M149" s="17"/>
      <c r="N149" s="79"/>
      <c r="O149" s="16"/>
      <c r="P149" s="91"/>
      <c r="Q149" s="85"/>
      <c r="S149" s="1"/>
      <c r="T149" s="17"/>
      <c r="U149" s="17"/>
      <c r="V149" s="17"/>
      <c r="W149" s="17"/>
      <c r="X149" s="17"/>
      <c r="Y149" s="17"/>
      <c r="Z149" s="17"/>
      <c r="AA149" s="17"/>
      <c r="AB149" s="79"/>
      <c r="AC149" s="16"/>
      <c r="AD149" s="17"/>
      <c r="AE149" s="17"/>
      <c r="AF149" s="17"/>
      <c r="AG149" s="17"/>
      <c r="AH149" s="17"/>
      <c r="AI149" s="17"/>
      <c r="AJ149" s="17"/>
    </row>
    <row r="150" spans="1:50" s="2" customFormat="1" ht="17.100000000000001" customHeight="1">
      <c r="A150" s="14"/>
      <c r="B150" s="51"/>
      <c r="C150" s="14"/>
      <c r="D150" s="74"/>
      <c r="E150" s="74"/>
      <c r="F150" s="74"/>
      <c r="G150" s="14"/>
      <c r="H150" s="14"/>
      <c r="I150" s="14"/>
      <c r="J150" s="14"/>
      <c r="K150" s="14"/>
      <c r="L150" s="4"/>
      <c r="M150" s="17"/>
      <c r="N150" s="79"/>
      <c r="O150" s="16"/>
      <c r="P150" s="91"/>
      <c r="Q150" s="85"/>
      <c r="S150" s="1"/>
      <c r="T150" s="17"/>
      <c r="U150" s="17"/>
      <c r="V150" s="17"/>
      <c r="W150" s="17"/>
      <c r="X150" s="17"/>
      <c r="Y150" s="17"/>
      <c r="Z150" s="17"/>
      <c r="AA150" s="17"/>
      <c r="AB150" s="79"/>
      <c r="AC150" s="16"/>
      <c r="AD150" s="17"/>
      <c r="AE150" s="17"/>
      <c r="AF150" s="17"/>
      <c r="AG150" s="17"/>
      <c r="AH150" s="17"/>
      <c r="AI150" s="17"/>
      <c r="AJ150" s="17"/>
    </row>
    <row r="151" spans="1:50" s="2" customFormat="1" ht="17.100000000000001" customHeight="1">
      <c r="A151" s="14"/>
      <c r="B151" s="51"/>
      <c r="C151" s="14"/>
      <c r="D151" s="74"/>
      <c r="E151" s="74"/>
      <c r="F151" s="74"/>
      <c r="G151" s="14"/>
      <c r="H151" s="14"/>
      <c r="I151" s="14"/>
      <c r="J151" s="14"/>
      <c r="K151" s="14"/>
      <c r="L151" s="4"/>
      <c r="M151" s="17"/>
      <c r="N151" s="79"/>
      <c r="O151" s="16"/>
      <c r="P151" s="91"/>
      <c r="Q151" s="85"/>
      <c r="S151" s="1"/>
      <c r="T151" s="17"/>
      <c r="U151" s="17"/>
      <c r="V151" s="17"/>
      <c r="W151" s="17"/>
      <c r="X151" s="17"/>
      <c r="Y151" s="17"/>
      <c r="Z151" s="17"/>
      <c r="AA151" s="17"/>
      <c r="AB151" s="79"/>
      <c r="AC151" s="16"/>
      <c r="AD151" s="17"/>
      <c r="AE151" s="17"/>
      <c r="AF151" s="17"/>
      <c r="AG151" s="17"/>
      <c r="AH151" s="17"/>
      <c r="AI151" s="17"/>
      <c r="AJ151" s="17"/>
    </row>
    <row r="152" spans="1:50" s="2" customFormat="1" ht="17.100000000000001" customHeight="1">
      <c r="A152" s="14"/>
      <c r="B152" s="51"/>
      <c r="C152" s="14"/>
      <c r="D152" s="74"/>
      <c r="E152" s="74"/>
      <c r="F152" s="74"/>
      <c r="G152" s="14"/>
      <c r="H152" s="14"/>
      <c r="I152" s="14"/>
      <c r="J152" s="14"/>
      <c r="K152" s="14"/>
      <c r="L152" s="4"/>
      <c r="M152" s="17"/>
      <c r="N152" s="79"/>
      <c r="O152" s="16"/>
      <c r="P152" s="91"/>
      <c r="Q152" s="85"/>
      <c r="S152" s="1"/>
      <c r="T152" s="17"/>
      <c r="U152" s="17"/>
      <c r="V152" s="17"/>
      <c r="W152" s="17"/>
      <c r="X152" s="17"/>
      <c r="Y152" s="17"/>
      <c r="Z152" s="17"/>
      <c r="AA152" s="17"/>
      <c r="AB152" s="79"/>
      <c r="AC152" s="16"/>
      <c r="AD152" s="17"/>
      <c r="AE152" s="17"/>
      <c r="AF152" s="17"/>
      <c r="AG152" s="17"/>
      <c r="AH152" s="17"/>
      <c r="AI152" s="17"/>
      <c r="AJ152" s="17"/>
    </row>
    <row r="153" spans="1:50" s="2" customFormat="1" ht="17.100000000000001" customHeight="1">
      <c r="A153" s="14"/>
      <c r="B153" s="51"/>
      <c r="C153" s="14"/>
      <c r="D153" s="74"/>
      <c r="E153" s="74"/>
      <c r="F153" s="74"/>
      <c r="G153" s="14"/>
      <c r="H153" s="14"/>
      <c r="I153" s="14"/>
      <c r="J153" s="14"/>
      <c r="K153" s="14"/>
      <c r="L153" s="4"/>
      <c r="M153" s="17"/>
      <c r="N153" s="79"/>
      <c r="O153" s="16"/>
      <c r="P153" s="91"/>
      <c r="Q153" s="85"/>
      <c r="S153" s="1"/>
      <c r="T153" s="17"/>
      <c r="U153" s="17"/>
      <c r="V153" s="17"/>
      <c r="W153" s="17"/>
      <c r="X153" s="17"/>
      <c r="Y153" s="17"/>
      <c r="Z153" s="17"/>
      <c r="AA153" s="17"/>
      <c r="AB153" s="79"/>
      <c r="AC153" s="16"/>
      <c r="AD153" s="17"/>
      <c r="AE153" s="17"/>
      <c r="AF153" s="17"/>
      <c r="AG153" s="17"/>
      <c r="AH153" s="17"/>
      <c r="AI153" s="17"/>
      <c r="AJ153" s="17"/>
    </row>
    <row r="154" spans="1:50" s="2" customFormat="1" ht="17.100000000000001" customHeight="1">
      <c r="A154" s="14"/>
      <c r="B154" s="51"/>
      <c r="C154" s="14"/>
      <c r="D154" s="74"/>
      <c r="E154" s="74"/>
      <c r="F154" s="74"/>
      <c r="G154" s="14"/>
      <c r="H154" s="14"/>
      <c r="I154" s="14"/>
      <c r="J154" s="14"/>
      <c r="K154" s="14"/>
      <c r="L154" s="4"/>
      <c r="M154" s="17"/>
      <c r="N154" s="79"/>
      <c r="O154" s="16"/>
      <c r="P154" s="91"/>
      <c r="Q154" s="85"/>
      <c r="S154" s="1"/>
      <c r="T154" s="17"/>
      <c r="U154" s="17"/>
      <c r="V154" s="17"/>
      <c r="W154" s="17"/>
      <c r="X154" s="17"/>
      <c r="Y154" s="17"/>
      <c r="Z154" s="17"/>
      <c r="AA154" s="17"/>
      <c r="AB154" s="79"/>
      <c r="AC154" s="16"/>
      <c r="AD154" s="17"/>
      <c r="AE154" s="17"/>
      <c r="AF154" s="17"/>
      <c r="AG154" s="17"/>
      <c r="AH154" s="17"/>
      <c r="AI154" s="17"/>
      <c r="AJ154" s="17"/>
    </row>
  </sheetData>
  <autoFilter ref="A4:AG145" xr:uid="{00000000-0009-0000-0000-000001000000}">
    <sortState xmlns:xlrd2="http://schemas.microsoft.com/office/spreadsheetml/2017/richdata2" ref="A6:AG132">
      <sortCondition ref="A4:A132"/>
    </sortState>
  </autoFilter>
  <mergeCells count="9">
    <mergeCell ref="N1:Q1"/>
    <mergeCell ref="K3:K4"/>
    <mergeCell ref="J3:J4"/>
    <mergeCell ref="I3:I4"/>
    <mergeCell ref="A3:A4"/>
    <mergeCell ref="H3:H4"/>
    <mergeCell ref="G3:G4"/>
    <mergeCell ref="F3:F4"/>
    <mergeCell ref="C3:C4"/>
  </mergeCells>
  <phoneticPr fontId="1"/>
  <printOptions horizontalCentered="1"/>
  <pageMargins left="0.59055118110236227" right="0.39370078740157483" top="0.78740157480314965" bottom="0.51181102362204722" header="0.51181102362204722" footer="0.31496062992125984"/>
  <pageSetup paperSize="9" scale="68" fitToHeight="0" orientation="portrait" r:id="rId1"/>
  <headerFooter alignWithMargins="0">
    <oddHeader>&amp;L&amp;"メイリオ,レギュラー"&amp;14水準点情報</oddHeader>
    <oddFooter>&amp;C&amp;"メイリオ,レギュラー"&amp;P/&amp;N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view="pageBreakPreview" topLeftCell="A8" zoomScaleNormal="85" zoomScaleSheetLayoutView="100" workbookViewId="0">
      <selection activeCell="F24" sqref="F1:F1048576"/>
    </sheetView>
  </sheetViews>
  <sheetFormatPr defaultRowHeight="39.950000000000003" customHeight="1"/>
  <cols>
    <col min="1" max="1" width="15.625" style="347" customWidth="1"/>
    <col min="2" max="8" width="12.625" style="347" customWidth="1"/>
    <col min="9" max="9" width="30.625" style="347" customWidth="1"/>
    <col min="10" max="10" width="42.75" style="347" bestFit="1" customWidth="1"/>
    <col min="11" max="256" width="9" style="347"/>
    <col min="257" max="257" width="12.5" style="347" customWidth="1"/>
    <col min="258" max="258" width="9.625" style="347" customWidth="1"/>
    <col min="259" max="259" width="8.625" style="347" customWidth="1"/>
    <col min="260" max="263" width="8.375" style="347" customWidth="1"/>
    <col min="264" max="264" width="12" style="347" customWidth="1"/>
    <col min="265" max="265" width="22.75" style="347" customWidth="1"/>
    <col min="266" max="512" width="9" style="347"/>
    <col min="513" max="513" width="12.5" style="347" customWidth="1"/>
    <col min="514" max="514" width="9.625" style="347" customWidth="1"/>
    <col min="515" max="515" width="8.625" style="347" customWidth="1"/>
    <col min="516" max="519" width="8.375" style="347" customWidth="1"/>
    <col min="520" max="520" width="12" style="347" customWidth="1"/>
    <col min="521" max="521" width="22.75" style="347" customWidth="1"/>
    <col min="522" max="768" width="9" style="347"/>
    <col min="769" max="769" width="12.5" style="347" customWidth="1"/>
    <col min="770" max="770" width="9.625" style="347" customWidth="1"/>
    <col min="771" max="771" width="8.625" style="347" customWidth="1"/>
    <col min="772" max="775" width="8.375" style="347" customWidth="1"/>
    <col min="776" max="776" width="12" style="347" customWidth="1"/>
    <col min="777" max="777" width="22.75" style="347" customWidth="1"/>
    <col min="778" max="1024" width="9" style="347"/>
    <col min="1025" max="1025" width="12.5" style="347" customWidth="1"/>
    <col min="1026" max="1026" width="9.625" style="347" customWidth="1"/>
    <col min="1027" max="1027" width="8.625" style="347" customWidth="1"/>
    <col min="1028" max="1031" width="8.375" style="347" customWidth="1"/>
    <col min="1032" max="1032" width="12" style="347" customWidth="1"/>
    <col min="1033" max="1033" width="22.75" style="347" customWidth="1"/>
    <col min="1034" max="1280" width="9" style="347"/>
    <col min="1281" max="1281" width="12.5" style="347" customWidth="1"/>
    <col min="1282" max="1282" width="9.625" style="347" customWidth="1"/>
    <col min="1283" max="1283" width="8.625" style="347" customWidth="1"/>
    <col min="1284" max="1287" width="8.375" style="347" customWidth="1"/>
    <col min="1288" max="1288" width="12" style="347" customWidth="1"/>
    <col min="1289" max="1289" width="22.75" style="347" customWidth="1"/>
    <col min="1290" max="1536" width="9" style="347"/>
    <col min="1537" max="1537" width="12.5" style="347" customWidth="1"/>
    <col min="1538" max="1538" width="9.625" style="347" customWidth="1"/>
    <col min="1539" max="1539" width="8.625" style="347" customWidth="1"/>
    <col min="1540" max="1543" width="8.375" style="347" customWidth="1"/>
    <col min="1544" max="1544" width="12" style="347" customWidth="1"/>
    <col min="1545" max="1545" width="22.75" style="347" customWidth="1"/>
    <col min="1546" max="1792" width="9" style="347"/>
    <col min="1793" max="1793" width="12.5" style="347" customWidth="1"/>
    <col min="1794" max="1794" width="9.625" style="347" customWidth="1"/>
    <col min="1795" max="1795" width="8.625" style="347" customWidth="1"/>
    <col min="1796" max="1799" width="8.375" style="347" customWidth="1"/>
    <col min="1800" max="1800" width="12" style="347" customWidth="1"/>
    <col min="1801" max="1801" width="22.75" style="347" customWidth="1"/>
    <col min="1802" max="2048" width="9" style="347"/>
    <col min="2049" max="2049" width="12.5" style="347" customWidth="1"/>
    <col min="2050" max="2050" width="9.625" style="347" customWidth="1"/>
    <col min="2051" max="2051" width="8.625" style="347" customWidth="1"/>
    <col min="2052" max="2055" width="8.375" style="347" customWidth="1"/>
    <col min="2056" max="2056" width="12" style="347" customWidth="1"/>
    <col min="2057" max="2057" width="22.75" style="347" customWidth="1"/>
    <col min="2058" max="2304" width="9" style="347"/>
    <col min="2305" max="2305" width="12.5" style="347" customWidth="1"/>
    <col min="2306" max="2306" width="9.625" style="347" customWidth="1"/>
    <col min="2307" max="2307" width="8.625" style="347" customWidth="1"/>
    <col min="2308" max="2311" width="8.375" style="347" customWidth="1"/>
    <col min="2312" max="2312" width="12" style="347" customWidth="1"/>
    <col min="2313" max="2313" width="22.75" style="347" customWidth="1"/>
    <col min="2314" max="2560" width="9" style="347"/>
    <col min="2561" max="2561" width="12.5" style="347" customWidth="1"/>
    <col min="2562" max="2562" width="9.625" style="347" customWidth="1"/>
    <col min="2563" max="2563" width="8.625" style="347" customWidth="1"/>
    <col min="2564" max="2567" width="8.375" style="347" customWidth="1"/>
    <col min="2568" max="2568" width="12" style="347" customWidth="1"/>
    <col min="2569" max="2569" width="22.75" style="347" customWidth="1"/>
    <col min="2570" max="2816" width="9" style="347"/>
    <col min="2817" max="2817" width="12.5" style="347" customWidth="1"/>
    <col min="2818" max="2818" width="9.625" style="347" customWidth="1"/>
    <col min="2819" max="2819" width="8.625" style="347" customWidth="1"/>
    <col min="2820" max="2823" width="8.375" style="347" customWidth="1"/>
    <col min="2824" max="2824" width="12" style="347" customWidth="1"/>
    <col min="2825" max="2825" width="22.75" style="347" customWidth="1"/>
    <col min="2826" max="3072" width="9" style="347"/>
    <col min="3073" max="3073" width="12.5" style="347" customWidth="1"/>
    <col min="3074" max="3074" width="9.625" style="347" customWidth="1"/>
    <col min="3075" max="3075" width="8.625" style="347" customWidth="1"/>
    <col min="3076" max="3079" width="8.375" style="347" customWidth="1"/>
    <col min="3080" max="3080" width="12" style="347" customWidth="1"/>
    <col min="3081" max="3081" width="22.75" style="347" customWidth="1"/>
    <col min="3082" max="3328" width="9" style="347"/>
    <col min="3329" max="3329" width="12.5" style="347" customWidth="1"/>
    <col min="3330" max="3330" width="9.625" style="347" customWidth="1"/>
    <col min="3331" max="3331" width="8.625" style="347" customWidth="1"/>
    <col min="3332" max="3335" width="8.375" style="347" customWidth="1"/>
    <col min="3336" max="3336" width="12" style="347" customWidth="1"/>
    <col min="3337" max="3337" width="22.75" style="347" customWidth="1"/>
    <col min="3338" max="3584" width="9" style="347"/>
    <col min="3585" max="3585" width="12.5" style="347" customWidth="1"/>
    <col min="3586" max="3586" width="9.625" style="347" customWidth="1"/>
    <col min="3587" max="3587" width="8.625" style="347" customWidth="1"/>
    <col min="3588" max="3591" width="8.375" style="347" customWidth="1"/>
    <col min="3592" max="3592" width="12" style="347" customWidth="1"/>
    <col min="3593" max="3593" width="22.75" style="347" customWidth="1"/>
    <col min="3594" max="3840" width="9" style="347"/>
    <col min="3841" max="3841" width="12.5" style="347" customWidth="1"/>
    <col min="3842" max="3842" width="9.625" style="347" customWidth="1"/>
    <col min="3843" max="3843" width="8.625" style="347" customWidth="1"/>
    <col min="3844" max="3847" width="8.375" style="347" customWidth="1"/>
    <col min="3848" max="3848" width="12" style="347" customWidth="1"/>
    <col min="3849" max="3849" width="22.75" style="347" customWidth="1"/>
    <col min="3850" max="4096" width="9" style="347"/>
    <col min="4097" max="4097" width="12.5" style="347" customWidth="1"/>
    <col min="4098" max="4098" width="9.625" style="347" customWidth="1"/>
    <col min="4099" max="4099" width="8.625" style="347" customWidth="1"/>
    <col min="4100" max="4103" width="8.375" style="347" customWidth="1"/>
    <col min="4104" max="4104" width="12" style="347" customWidth="1"/>
    <col min="4105" max="4105" width="22.75" style="347" customWidth="1"/>
    <col min="4106" max="4352" width="9" style="347"/>
    <col min="4353" max="4353" width="12.5" style="347" customWidth="1"/>
    <col min="4354" max="4354" width="9.625" style="347" customWidth="1"/>
    <col min="4355" max="4355" width="8.625" style="347" customWidth="1"/>
    <col min="4356" max="4359" width="8.375" style="347" customWidth="1"/>
    <col min="4360" max="4360" width="12" style="347" customWidth="1"/>
    <col min="4361" max="4361" width="22.75" style="347" customWidth="1"/>
    <col min="4362" max="4608" width="9" style="347"/>
    <col min="4609" max="4609" width="12.5" style="347" customWidth="1"/>
    <col min="4610" max="4610" width="9.625" style="347" customWidth="1"/>
    <col min="4611" max="4611" width="8.625" style="347" customWidth="1"/>
    <col min="4612" max="4615" width="8.375" style="347" customWidth="1"/>
    <col min="4616" max="4616" width="12" style="347" customWidth="1"/>
    <col min="4617" max="4617" width="22.75" style="347" customWidth="1"/>
    <col min="4618" max="4864" width="9" style="347"/>
    <col min="4865" max="4865" width="12.5" style="347" customWidth="1"/>
    <col min="4866" max="4866" width="9.625" style="347" customWidth="1"/>
    <col min="4867" max="4867" width="8.625" style="347" customWidth="1"/>
    <col min="4868" max="4871" width="8.375" style="347" customWidth="1"/>
    <col min="4872" max="4872" width="12" style="347" customWidth="1"/>
    <col min="4873" max="4873" width="22.75" style="347" customWidth="1"/>
    <col min="4874" max="5120" width="9" style="347"/>
    <col min="5121" max="5121" width="12.5" style="347" customWidth="1"/>
    <col min="5122" max="5122" width="9.625" style="347" customWidth="1"/>
    <col min="5123" max="5123" width="8.625" style="347" customWidth="1"/>
    <col min="5124" max="5127" width="8.375" style="347" customWidth="1"/>
    <col min="5128" max="5128" width="12" style="347" customWidth="1"/>
    <col min="5129" max="5129" width="22.75" style="347" customWidth="1"/>
    <col min="5130" max="5376" width="9" style="347"/>
    <col min="5377" max="5377" width="12.5" style="347" customWidth="1"/>
    <col min="5378" max="5378" width="9.625" style="347" customWidth="1"/>
    <col min="5379" max="5379" width="8.625" style="347" customWidth="1"/>
    <col min="5380" max="5383" width="8.375" style="347" customWidth="1"/>
    <col min="5384" max="5384" width="12" style="347" customWidth="1"/>
    <col min="5385" max="5385" width="22.75" style="347" customWidth="1"/>
    <col min="5386" max="5632" width="9" style="347"/>
    <col min="5633" max="5633" width="12.5" style="347" customWidth="1"/>
    <col min="5634" max="5634" width="9.625" style="347" customWidth="1"/>
    <col min="5635" max="5635" width="8.625" style="347" customWidth="1"/>
    <col min="5636" max="5639" width="8.375" style="347" customWidth="1"/>
    <col min="5640" max="5640" width="12" style="347" customWidth="1"/>
    <col min="5641" max="5641" width="22.75" style="347" customWidth="1"/>
    <col min="5642" max="5888" width="9" style="347"/>
    <col min="5889" max="5889" width="12.5" style="347" customWidth="1"/>
    <col min="5890" max="5890" width="9.625" style="347" customWidth="1"/>
    <col min="5891" max="5891" width="8.625" style="347" customWidth="1"/>
    <col min="5892" max="5895" width="8.375" style="347" customWidth="1"/>
    <col min="5896" max="5896" width="12" style="347" customWidth="1"/>
    <col min="5897" max="5897" width="22.75" style="347" customWidth="1"/>
    <col min="5898" max="6144" width="9" style="347"/>
    <col min="6145" max="6145" width="12.5" style="347" customWidth="1"/>
    <col min="6146" max="6146" width="9.625" style="347" customWidth="1"/>
    <col min="6147" max="6147" width="8.625" style="347" customWidth="1"/>
    <col min="6148" max="6151" width="8.375" style="347" customWidth="1"/>
    <col min="6152" max="6152" width="12" style="347" customWidth="1"/>
    <col min="6153" max="6153" width="22.75" style="347" customWidth="1"/>
    <col min="6154" max="6400" width="9" style="347"/>
    <col min="6401" max="6401" width="12.5" style="347" customWidth="1"/>
    <col min="6402" max="6402" width="9.625" style="347" customWidth="1"/>
    <col min="6403" max="6403" width="8.625" style="347" customWidth="1"/>
    <col min="6404" max="6407" width="8.375" style="347" customWidth="1"/>
    <col min="6408" max="6408" width="12" style="347" customWidth="1"/>
    <col min="6409" max="6409" width="22.75" style="347" customWidth="1"/>
    <col min="6410" max="6656" width="9" style="347"/>
    <col min="6657" max="6657" width="12.5" style="347" customWidth="1"/>
    <col min="6658" max="6658" width="9.625" style="347" customWidth="1"/>
    <col min="6659" max="6659" width="8.625" style="347" customWidth="1"/>
    <col min="6660" max="6663" width="8.375" style="347" customWidth="1"/>
    <col min="6664" max="6664" width="12" style="347" customWidth="1"/>
    <col min="6665" max="6665" width="22.75" style="347" customWidth="1"/>
    <col min="6666" max="6912" width="9" style="347"/>
    <col min="6913" max="6913" width="12.5" style="347" customWidth="1"/>
    <col min="6914" max="6914" width="9.625" style="347" customWidth="1"/>
    <col min="6915" max="6915" width="8.625" style="347" customWidth="1"/>
    <col min="6916" max="6919" width="8.375" style="347" customWidth="1"/>
    <col min="6920" max="6920" width="12" style="347" customWidth="1"/>
    <col min="6921" max="6921" width="22.75" style="347" customWidth="1"/>
    <col min="6922" max="7168" width="9" style="347"/>
    <col min="7169" max="7169" width="12.5" style="347" customWidth="1"/>
    <col min="7170" max="7170" width="9.625" style="347" customWidth="1"/>
    <col min="7171" max="7171" width="8.625" style="347" customWidth="1"/>
    <col min="7172" max="7175" width="8.375" style="347" customWidth="1"/>
    <col min="7176" max="7176" width="12" style="347" customWidth="1"/>
    <col min="7177" max="7177" width="22.75" style="347" customWidth="1"/>
    <col min="7178" max="7424" width="9" style="347"/>
    <col min="7425" max="7425" width="12.5" style="347" customWidth="1"/>
    <col min="7426" max="7426" width="9.625" style="347" customWidth="1"/>
    <col min="7427" max="7427" width="8.625" style="347" customWidth="1"/>
    <col min="7428" max="7431" width="8.375" style="347" customWidth="1"/>
    <col min="7432" max="7432" width="12" style="347" customWidth="1"/>
    <col min="7433" max="7433" width="22.75" style="347" customWidth="1"/>
    <col min="7434" max="7680" width="9" style="347"/>
    <col min="7681" max="7681" width="12.5" style="347" customWidth="1"/>
    <col min="7682" max="7682" width="9.625" style="347" customWidth="1"/>
    <col min="7683" max="7683" width="8.625" style="347" customWidth="1"/>
    <col min="7684" max="7687" width="8.375" style="347" customWidth="1"/>
    <col min="7688" max="7688" width="12" style="347" customWidth="1"/>
    <col min="7689" max="7689" width="22.75" style="347" customWidth="1"/>
    <col min="7690" max="7936" width="9" style="347"/>
    <col min="7937" max="7937" width="12.5" style="347" customWidth="1"/>
    <col min="7938" max="7938" width="9.625" style="347" customWidth="1"/>
    <col min="7939" max="7939" width="8.625" style="347" customWidth="1"/>
    <col min="7940" max="7943" width="8.375" style="347" customWidth="1"/>
    <col min="7944" max="7944" width="12" style="347" customWidth="1"/>
    <col min="7945" max="7945" width="22.75" style="347" customWidth="1"/>
    <col min="7946" max="8192" width="9" style="347"/>
    <col min="8193" max="8193" width="12.5" style="347" customWidth="1"/>
    <col min="8194" max="8194" width="9.625" style="347" customWidth="1"/>
    <col min="8195" max="8195" width="8.625" style="347" customWidth="1"/>
    <col min="8196" max="8199" width="8.375" style="347" customWidth="1"/>
    <col min="8200" max="8200" width="12" style="347" customWidth="1"/>
    <col min="8201" max="8201" width="22.75" style="347" customWidth="1"/>
    <col min="8202" max="8448" width="9" style="347"/>
    <col min="8449" max="8449" width="12.5" style="347" customWidth="1"/>
    <col min="8450" max="8450" width="9.625" style="347" customWidth="1"/>
    <col min="8451" max="8451" width="8.625" style="347" customWidth="1"/>
    <col min="8452" max="8455" width="8.375" style="347" customWidth="1"/>
    <col min="8456" max="8456" width="12" style="347" customWidth="1"/>
    <col min="8457" max="8457" width="22.75" style="347" customWidth="1"/>
    <col min="8458" max="8704" width="9" style="347"/>
    <col min="8705" max="8705" width="12.5" style="347" customWidth="1"/>
    <col min="8706" max="8706" width="9.625" style="347" customWidth="1"/>
    <col min="8707" max="8707" width="8.625" style="347" customWidth="1"/>
    <col min="8708" max="8711" width="8.375" style="347" customWidth="1"/>
    <col min="8712" max="8712" width="12" style="347" customWidth="1"/>
    <col min="8713" max="8713" width="22.75" style="347" customWidth="1"/>
    <col min="8714" max="8960" width="9" style="347"/>
    <col min="8961" max="8961" width="12.5" style="347" customWidth="1"/>
    <col min="8962" max="8962" width="9.625" style="347" customWidth="1"/>
    <col min="8963" max="8963" width="8.625" style="347" customWidth="1"/>
    <col min="8964" max="8967" width="8.375" style="347" customWidth="1"/>
    <col min="8968" max="8968" width="12" style="347" customWidth="1"/>
    <col min="8969" max="8969" width="22.75" style="347" customWidth="1"/>
    <col min="8970" max="9216" width="9" style="347"/>
    <col min="9217" max="9217" width="12.5" style="347" customWidth="1"/>
    <col min="9218" max="9218" width="9.625" style="347" customWidth="1"/>
    <col min="9219" max="9219" width="8.625" style="347" customWidth="1"/>
    <col min="9220" max="9223" width="8.375" style="347" customWidth="1"/>
    <col min="9224" max="9224" width="12" style="347" customWidth="1"/>
    <col min="9225" max="9225" width="22.75" style="347" customWidth="1"/>
    <col min="9226" max="9472" width="9" style="347"/>
    <col min="9473" max="9473" width="12.5" style="347" customWidth="1"/>
    <col min="9474" max="9474" width="9.625" style="347" customWidth="1"/>
    <col min="9475" max="9475" width="8.625" style="347" customWidth="1"/>
    <col min="9476" max="9479" width="8.375" style="347" customWidth="1"/>
    <col min="9480" max="9480" width="12" style="347" customWidth="1"/>
    <col min="9481" max="9481" width="22.75" style="347" customWidth="1"/>
    <col min="9482" max="9728" width="9" style="347"/>
    <col min="9729" max="9729" width="12.5" style="347" customWidth="1"/>
    <col min="9730" max="9730" width="9.625" style="347" customWidth="1"/>
    <col min="9731" max="9731" width="8.625" style="347" customWidth="1"/>
    <col min="9732" max="9735" width="8.375" style="347" customWidth="1"/>
    <col min="9736" max="9736" width="12" style="347" customWidth="1"/>
    <col min="9737" max="9737" width="22.75" style="347" customWidth="1"/>
    <col min="9738" max="9984" width="9" style="347"/>
    <col min="9985" max="9985" width="12.5" style="347" customWidth="1"/>
    <col min="9986" max="9986" width="9.625" style="347" customWidth="1"/>
    <col min="9987" max="9987" width="8.625" style="347" customWidth="1"/>
    <col min="9988" max="9991" width="8.375" style="347" customWidth="1"/>
    <col min="9992" max="9992" width="12" style="347" customWidth="1"/>
    <col min="9993" max="9993" width="22.75" style="347" customWidth="1"/>
    <col min="9994" max="10240" width="9" style="347"/>
    <col min="10241" max="10241" width="12.5" style="347" customWidth="1"/>
    <col min="10242" max="10242" width="9.625" style="347" customWidth="1"/>
    <col min="10243" max="10243" width="8.625" style="347" customWidth="1"/>
    <col min="10244" max="10247" width="8.375" style="347" customWidth="1"/>
    <col min="10248" max="10248" width="12" style="347" customWidth="1"/>
    <col min="10249" max="10249" width="22.75" style="347" customWidth="1"/>
    <col min="10250" max="10496" width="9" style="347"/>
    <col min="10497" max="10497" width="12.5" style="347" customWidth="1"/>
    <col min="10498" max="10498" width="9.625" style="347" customWidth="1"/>
    <col min="10499" max="10499" width="8.625" style="347" customWidth="1"/>
    <col min="10500" max="10503" width="8.375" style="347" customWidth="1"/>
    <col min="10504" max="10504" width="12" style="347" customWidth="1"/>
    <col min="10505" max="10505" width="22.75" style="347" customWidth="1"/>
    <col min="10506" max="10752" width="9" style="347"/>
    <col min="10753" max="10753" width="12.5" style="347" customWidth="1"/>
    <col min="10754" max="10754" width="9.625" style="347" customWidth="1"/>
    <col min="10755" max="10755" width="8.625" style="347" customWidth="1"/>
    <col min="10756" max="10759" width="8.375" style="347" customWidth="1"/>
    <col min="10760" max="10760" width="12" style="347" customWidth="1"/>
    <col min="10761" max="10761" width="22.75" style="347" customWidth="1"/>
    <col min="10762" max="11008" width="9" style="347"/>
    <col min="11009" max="11009" width="12.5" style="347" customWidth="1"/>
    <col min="11010" max="11010" width="9.625" style="347" customWidth="1"/>
    <col min="11011" max="11011" width="8.625" style="347" customWidth="1"/>
    <col min="11012" max="11015" width="8.375" style="347" customWidth="1"/>
    <col min="11016" max="11016" width="12" style="347" customWidth="1"/>
    <col min="11017" max="11017" width="22.75" style="347" customWidth="1"/>
    <col min="11018" max="11264" width="9" style="347"/>
    <col min="11265" max="11265" width="12.5" style="347" customWidth="1"/>
    <col min="11266" max="11266" width="9.625" style="347" customWidth="1"/>
    <col min="11267" max="11267" width="8.625" style="347" customWidth="1"/>
    <col min="11268" max="11271" width="8.375" style="347" customWidth="1"/>
    <col min="11272" max="11272" width="12" style="347" customWidth="1"/>
    <col min="11273" max="11273" width="22.75" style="347" customWidth="1"/>
    <col min="11274" max="11520" width="9" style="347"/>
    <col min="11521" max="11521" width="12.5" style="347" customWidth="1"/>
    <col min="11522" max="11522" width="9.625" style="347" customWidth="1"/>
    <col min="11523" max="11523" width="8.625" style="347" customWidth="1"/>
    <col min="11524" max="11527" width="8.375" style="347" customWidth="1"/>
    <col min="11528" max="11528" width="12" style="347" customWidth="1"/>
    <col min="11529" max="11529" width="22.75" style="347" customWidth="1"/>
    <col min="11530" max="11776" width="9" style="347"/>
    <col min="11777" max="11777" width="12.5" style="347" customWidth="1"/>
    <col min="11778" max="11778" width="9.625" style="347" customWidth="1"/>
    <col min="11779" max="11779" width="8.625" style="347" customWidth="1"/>
    <col min="11780" max="11783" width="8.375" style="347" customWidth="1"/>
    <col min="11784" max="11784" width="12" style="347" customWidth="1"/>
    <col min="11785" max="11785" width="22.75" style="347" customWidth="1"/>
    <col min="11786" max="12032" width="9" style="347"/>
    <col min="12033" max="12033" width="12.5" style="347" customWidth="1"/>
    <col min="12034" max="12034" width="9.625" style="347" customWidth="1"/>
    <col min="12035" max="12035" width="8.625" style="347" customWidth="1"/>
    <col min="12036" max="12039" width="8.375" style="347" customWidth="1"/>
    <col min="12040" max="12040" width="12" style="347" customWidth="1"/>
    <col min="12041" max="12041" width="22.75" style="347" customWidth="1"/>
    <col min="12042" max="12288" width="9" style="347"/>
    <col min="12289" max="12289" width="12.5" style="347" customWidth="1"/>
    <col min="12290" max="12290" width="9.625" style="347" customWidth="1"/>
    <col min="12291" max="12291" width="8.625" style="347" customWidth="1"/>
    <col min="12292" max="12295" width="8.375" style="347" customWidth="1"/>
    <col min="12296" max="12296" width="12" style="347" customWidth="1"/>
    <col min="12297" max="12297" width="22.75" style="347" customWidth="1"/>
    <col min="12298" max="12544" width="9" style="347"/>
    <col min="12545" max="12545" width="12.5" style="347" customWidth="1"/>
    <col min="12546" max="12546" width="9.625" style="347" customWidth="1"/>
    <col min="12547" max="12547" width="8.625" style="347" customWidth="1"/>
    <col min="12548" max="12551" width="8.375" style="347" customWidth="1"/>
    <col min="12552" max="12552" width="12" style="347" customWidth="1"/>
    <col min="12553" max="12553" width="22.75" style="347" customWidth="1"/>
    <col min="12554" max="12800" width="9" style="347"/>
    <col min="12801" max="12801" width="12.5" style="347" customWidth="1"/>
    <col min="12802" max="12802" width="9.625" style="347" customWidth="1"/>
    <col min="12803" max="12803" width="8.625" style="347" customWidth="1"/>
    <col min="12804" max="12807" width="8.375" style="347" customWidth="1"/>
    <col min="12808" max="12808" width="12" style="347" customWidth="1"/>
    <col min="12809" max="12809" width="22.75" style="347" customWidth="1"/>
    <col min="12810" max="13056" width="9" style="347"/>
    <col min="13057" max="13057" width="12.5" style="347" customWidth="1"/>
    <col min="13058" max="13058" width="9.625" style="347" customWidth="1"/>
    <col min="13059" max="13059" width="8.625" style="347" customWidth="1"/>
    <col min="13060" max="13063" width="8.375" style="347" customWidth="1"/>
    <col min="13064" max="13064" width="12" style="347" customWidth="1"/>
    <col min="13065" max="13065" width="22.75" style="347" customWidth="1"/>
    <col min="13066" max="13312" width="9" style="347"/>
    <col min="13313" max="13313" width="12.5" style="347" customWidth="1"/>
    <col min="13314" max="13314" width="9.625" style="347" customWidth="1"/>
    <col min="13315" max="13315" width="8.625" style="347" customWidth="1"/>
    <col min="13316" max="13319" width="8.375" style="347" customWidth="1"/>
    <col min="13320" max="13320" width="12" style="347" customWidth="1"/>
    <col min="13321" max="13321" width="22.75" style="347" customWidth="1"/>
    <col min="13322" max="13568" width="9" style="347"/>
    <col min="13569" max="13569" width="12.5" style="347" customWidth="1"/>
    <col min="13570" max="13570" width="9.625" style="347" customWidth="1"/>
    <col min="13571" max="13571" width="8.625" style="347" customWidth="1"/>
    <col min="13572" max="13575" width="8.375" style="347" customWidth="1"/>
    <col min="13576" max="13576" width="12" style="347" customWidth="1"/>
    <col min="13577" max="13577" width="22.75" style="347" customWidth="1"/>
    <col min="13578" max="13824" width="9" style="347"/>
    <col min="13825" max="13825" width="12.5" style="347" customWidth="1"/>
    <col min="13826" max="13826" width="9.625" style="347" customWidth="1"/>
    <col min="13827" max="13827" width="8.625" style="347" customWidth="1"/>
    <col min="13828" max="13831" width="8.375" style="347" customWidth="1"/>
    <col min="13832" max="13832" width="12" style="347" customWidth="1"/>
    <col min="13833" max="13833" width="22.75" style="347" customWidth="1"/>
    <col min="13834" max="14080" width="9" style="347"/>
    <col min="14081" max="14081" width="12.5" style="347" customWidth="1"/>
    <col min="14082" max="14082" width="9.625" style="347" customWidth="1"/>
    <col min="14083" max="14083" width="8.625" style="347" customWidth="1"/>
    <col min="14084" max="14087" width="8.375" style="347" customWidth="1"/>
    <col min="14088" max="14088" width="12" style="347" customWidth="1"/>
    <col min="14089" max="14089" width="22.75" style="347" customWidth="1"/>
    <col min="14090" max="14336" width="9" style="347"/>
    <col min="14337" max="14337" width="12.5" style="347" customWidth="1"/>
    <col min="14338" max="14338" width="9.625" style="347" customWidth="1"/>
    <col min="14339" max="14339" width="8.625" style="347" customWidth="1"/>
    <col min="14340" max="14343" width="8.375" style="347" customWidth="1"/>
    <col min="14344" max="14344" width="12" style="347" customWidth="1"/>
    <col min="14345" max="14345" width="22.75" style="347" customWidth="1"/>
    <col min="14346" max="14592" width="9" style="347"/>
    <col min="14593" max="14593" width="12.5" style="347" customWidth="1"/>
    <col min="14594" max="14594" width="9.625" style="347" customWidth="1"/>
    <col min="14595" max="14595" width="8.625" style="347" customWidth="1"/>
    <col min="14596" max="14599" width="8.375" style="347" customWidth="1"/>
    <col min="14600" max="14600" width="12" style="347" customWidth="1"/>
    <col min="14601" max="14601" width="22.75" style="347" customWidth="1"/>
    <col min="14602" max="14848" width="9" style="347"/>
    <col min="14849" max="14849" width="12.5" style="347" customWidth="1"/>
    <col min="14850" max="14850" width="9.625" style="347" customWidth="1"/>
    <col min="14851" max="14851" width="8.625" style="347" customWidth="1"/>
    <col min="14852" max="14855" width="8.375" style="347" customWidth="1"/>
    <col min="14856" max="14856" width="12" style="347" customWidth="1"/>
    <col min="14857" max="14857" width="22.75" style="347" customWidth="1"/>
    <col min="14858" max="15104" width="9" style="347"/>
    <col min="15105" max="15105" width="12.5" style="347" customWidth="1"/>
    <col min="15106" max="15106" width="9.625" style="347" customWidth="1"/>
    <col min="15107" max="15107" width="8.625" style="347" customWidth="1"/>
    <col min="15108" max="15111" width="8.375" style="347" customWidth="1"/>
    <col min="15112" max="15112" width="12" style="347" customWidth="1"/>
    <col min="15113" max="15113" width="22.75" style="347" customWidth="1"/>
    <col min="15114" max="15360" width="9" style="347"/>
    <col min="15361" max="15361" width="12.5" style="347" customWidth="1"/>
    <col min="15362" max="15362" width="9.625" style="347" customWidth="1"/>
    <col min="15363" max="15363" width="8.625" style="347" customWidth="1"/>
    <col min="15364" max="15367" width="8.375" style="347" customWidth="1"/>
    <col min="15368" max="15368" width="12" style="347" customWidth="1"/>
    <col min="15369" max="15369" width="22.75" style="347" customWidth="1"/>
    <col min="15370" max="15616" width="9" style="347"/>
    <col min="15617" max="15617" width="12.5" style="347" customWidth="1"/>
    <col min="15618" max="15618" width="9.625" style="347" customWidth="1"/>
    <col min="15619" max="15619" width="8.625" style="347" customWidth="1"/>
    <col min="15620" max="15623" width="8.375" style="347" customWidth="1"/>
    <col min="15624" max="15624" width="12" style="347" customWidth="1"/>
    <col min="15625" max="15625" width="22.75" style="347" customWidth="1"/>
    <col min="15626" max="15872" width="9" style="347"/>
    <col min="15873" max="15873" width="12.5" style="347" customWidth="1"/>
    <col min="15874" max="15874" width="9.625" style="347" customWidth="1"/>
    <col min="15875" max="15875" width="8.625" style="347" customWidth="1"/>
    <col min="15876" max="15879" width="8.375" style="347" customWidth="1"/>
    <col min="15880" max="15880" width="12" style="347" customWidth="1"/>
    <col min="15881" max="15881" width="22.75" style="347" customWidth="1"/>
    <col min="15882" max="16128" width="9" style="347"/>
    <col min="16129" max="16129" width="12.5" style="347" customWidth="1"/>
    <col min="16130" max="16130" width="9.625" style="347" customWidth="1"/>
    <col min="16131" max="16131" width="8.625" style="347" customWidth="1"/>
    <col min="16132" max="16135" width="8.375" style="347" customWidth="1"/>
    <col min="16136" max="16136" width="12" style="347" customWidth="1"/>
    <col min="16137" max="16137" width="22.75" style="347" customWidth="1"/>
    <col min="16138" max="16384" width="9" style="347"/>
  </cols>
  <sheetData>
    <row r="1" spans="1:10" s="346" customFormat="1" ht="39.950000000000003" customHeight="1" thickBot="1">
      <c r="A1" s="692" t="s">
        <v>1516</v>
      </c>
      <c r="B1" s="692"/>
      <c r="C1" s="692"/>
      <c r="D1" s="692"/>
      <c r="E1" s="692"/>
      <c r="F1" s="692"/>
      <c r="G1" s="692"/>
      <c r="H1" s="692"/>
      <c r="I1" s="692"/>
    </row>
    <row r="2" spans="1:10" ht="39.950000000000003" customHeight="1">
      <c r="A2" s="693"/>
      <c r="B2" s="695" t="s">
        <v>1236</v>
      </c>
      <c r="C2" s="697" t="s">
        <v>1204</v>
      </c>
      <c r="D2" s="699" t="s">
        <v>1234</v>
      </c>
      <c r="E2" s="700"/>
      <c r="F2" s="700"/>
      <c r="G2" s="701"/>
      <c r="H2" s="702" t="s">
        <v>1235</v>
      </c>
      <c r="I2" s="704" t="s">
        <v>1237</v>
      </c>
    </row>
    <row r="3" spans="1:10" ht="39.950000000000003" customHeight="1" thickBot="1">
      <c r="A3" s="694"/>
      <c r="B3" s="696"/>
      <c r="C3" s="698"/>
      <c r="D3" s="374" t="s">
        <v>1205</v>
      </c>
      <c r="E3" s="375" t="s">
        <v>1322</v>
      </c>
      <c r="F3" s="375" t="s">
        <v>1323</v>
      </c>
      <c r="G3" s="376" t="s">
        <v>1206</v>
      </c>
      <c r="H3" s="703"/>
      <c r="I3" s="705"/>
    </row>
    <row r="4" spans="1:10" ht="50.1" hidden="1" customHeight="1" thickTop="1">
      <c r="A4" s="348" t="s">
        <v>1207</v>
      </c>
      <c r="B4" s="349" t="s">
        <v>1224</v>
      </c>
      <c r="C4" s="350">
        <v>46</v>
      </c>
      <c r="D4" s="351">
        <v>45</v>
      </c>
      <c r="E4" s="352">
        <v>1</v>
      </c>
      <c r="F4" s="352">
        <v>0</v>
      </c>
      <c r="G4" s="353">
        <v>0</v>
      </c>
      <c r="H4" s="354" t="s">
        <v>1225</v>
      </c>
      <c r="I4" s="370" t="s">
        <v>1244</v>
      </c>
    </row>
    <row r="5" spans="1:10" ht="39.75" customHeight="1" thickTop="1">
      <c r="A5" s="377" t="s">
        <v>1208</v>
      </c>
      <c r="B5" s="349" t="s">
        <v>1218</v>
      </c>
      <c r="C5" s="350">
        <v>31</v>
      </c>
      <c r="D5" s="351">
        <v>31</v>
      </c>
      <c r="E5" s="352">
        <v>0</v>
      </c>
      <c r="F5" s="352">
        <v>0</v>
      </c>
      <c r="G5" s="353">
        <v>0</v>
      </c>
      <c r="H5" s="354" t="s">
        <v>1213</v>
      </c>
      <c r="I5" s="370" t="s">
        <v>1239</v>
      </c>
    </row>
    <row r="6" spans="1:10" ht="39.75" customHeight="1">
      <c r="A6" s="377" t="s">
        <v>1209</v>
      </c>
      <c r="B6" s="349" t="s">
        <v>1219</v>
      </c>
      <c r="C6" s="350">
        <v>18</v>
      </c>
      <c r="D6" s="351">
        <v>18</v>
      </c>
      <c r="E6" s="352">
        <v>0</v>
      </c>
      <c r="F6" s="352">
        <v>0</v>
      </c>
      <c r="G6" s="353">
        <v>0</v>
      </c>
      <c r="H6" s="354" t="s">
        <v>1214</v>
      </c>
      <c r="I6" s="370" t="s">
        <v>1243</v>
      </c>
    </row>
    <row r="7" spans="1:10" ht="39.75" customHeight="1">
      <c r="A7" s="378" t="s">
        <v>1210</v>
      </c>
      <c r="B7" s="355" t="s">
        <v>1220</v>
      </c>
      <c r="C7" s="356">
        <v>29</v>
      </c>
      <c r="D7" s="357">
        <v>29</v>
      </c>
      <c r="E7" s="358">
        <v>0</v>
      </c>
      <c r="F7" s="358">
        <v>0</v>
      </c>
      <c r="G7" s="359">
        <v>0</v>
      </c>
      <c r="H7" s="360" t="s">
        <v>1215</v>
      </c>
      <c r="I7" s="371" t="s">
        <v>1242</v>
      </c>
    </row>
    <row r="8" spans="1:10" ht="39.75" customHeight="1">
      <c r="A8" s="377" t="s">
        <v>1211</v>
      </c>
      <c r="B8" s="349" t="s">
        <v>1221</v>
      </c>
      <c r="C8" s="350">
        <v>19</v>
      </c>
      <c r="D8" s="351">
        <v>19</v>
      </c>
      <c r="E8" s="352">
        <v>0</v>
      </c>
      <c r="F8" s="352">
        <v>0</v>
      </c>
      <c r="G8" s="353">
        <v>0</v>
      </c>
      <c r="H8" s="354" t="s">
        <v>1216</v>
      </c>
      <c r="I8" s="370" t="s">
        <v>1241</v>
      </c>
    </row>
    <row r="9" spans="1:10" ht="39.75" customHeight="1">
      <c r="A9" s="377" t="s">
        <v>1212</v>
      </c>
      <c r="B9" s="349" t="s">
        <v>1222</v>
      </c>
      <c r="C9" s="350">
        <v>32</v>
      </c>
      <c r="D9" s="351">
        <v>32</v>
      </c>
      <c r="E9" s="352">
        <v>0</v>
      </c>
      <c r="F9" s="352">
        <v>0</v>
      </c>
      <c r="G9" s="353">
        <v>0</v>
      </c>
      <c r="H9" s="354" t="s">
        <v>1217</v>
      </c>
      <c r="I9" s="370" t="s">
        <v>1240</v>
      </c>
    </row>
    <row r="10" spans="1:10" ht="39.75" customHeight="1">
      <c r="A10" s="377" t="s">
        <v>1223</v>
      </c>
      <c r="B10" s="349" t="s">
        <v>1260</v>
      </c>
      <c r="C10" s="350">
        <v>28</v>
      </c>
      <c r="D10" s="351">
        <v>28</v>
      </c>
      <c r="E10" s="352">
        <v>0</v>
      </c>
      <c r="F10" s="352">
        <v>0</v>
      </c>
      <c r="G10" s="353">
        <v>0</v>
      </c>
      <c r="H10" s="354" t="s">
        <v>1232</v>
      </c>
      <c r="I10" s="370" t="s">
        <v>1238</v>
      </c>
    </row>
    <row r="11" spans="1:10" ht="39.75" customHeight="1">
      <c r="A11" s="534" t="s">
        <v>1324</v>
      </c>
      <c r="B11" s="535" t="s">
        <v>1327</v>
      </c>
      <c r="C11" s="536">
        <v>38</v>
      </c>
      <c r="D11" s="537">
        <v>37</v>
      </c>
      <c r="E11" s="538">
        <v>1</v>
      </c>
      <c r="F11" s="538">
        <v>0</v>
      </c>
      <c r="G11" s="539">
        <v>0</v>
      </c>
      <c r="H11" s="540" t="s">
        <v>1325</v>
      </c>
      <c r="I11" s="541" t="s">
        <v>1326</v>
      </c>
    </row>
    <row r="12" spans="1:10" ht="39.75" customHeight="1">
      <c r="A12" s="576" t="s">
        <v>1341</v>
      </c>
      <c r="B12" s="577" t="s">
        <v>1348</v>
      </c>
      <c r="C12" s="578">
        <v>43</v>
      </c>
      <c r="D12" s="579">
        <v>43</v>
      </c>
      <c r="E12" s="580">
        <v>0</v>
      </c>
      <c r="F12" s="580">
        <v>0</v>
      </c>
      <c r="G12" s="581">
        <v>0</v>
      </c>
      <c r="H12" s="582" t="s">
        <v>1342</v>
      </c>
      <c r="I12" s="583" t="s">
        <v>1343</v>
      </c>
    </row>
    <row r="13" spans="1:10" ht="39.75" customHeight="1">
      <c r="A13" s="613" t="s">
        <v>1368</v>
      </c>
      <c r="B13" s="614" t="s">
        <v>1376</v>
      </c>
      <c r="C13" s="616">
        <v>20</v>
      </c>
      <c r="D13" s="617">
        <v>20</v>
      </c>
      <c r="E13" s="619">
        <v>0</v>
      </c>
      <c r="F13" s="580">
        <v>0</v>
      </c>
      <c r="G13" s="620">
        <v>0</v>
      </c>
      <c r="H13" s="582" t="s">
        <v>1369</v>
      </c>
      <c r="I13" s="371" t="s">
        <v>1241</v>
      </c>
      <c r="J13" s="589" t="s">
        <v>1386</v>
      </c>
    </row>
    <row r="14" spans="1:10" ht="39.75" customHeight="1" thickBot="1">
      <c r="A14" s="584" t="s">
        <v>1385</v>
      </c>
      <c r="B14" s="615" t="s">
        <v>1518</v>
      </c>
      <c r="C14" s="585">
        <v>30</v>
      </c>
      <c r="D14" s="618">
        <v>30</v>
      </c>
      <c r="E14" s="586">
        <v>0</v>
      </c>
      <c r="F14" s="611">
        <v>0</v>
      </c>
      <c r="G14" s="612">
        <v>0</v>
      </c>
      <c r="H14" s="621" t="s">
        <v>1497</v>
      </c>
      <c r="I14" s="588" t="s">
        <v>1388</v>
      </c>
      <c r="J14" s="589" t="s">
        <v>1499</v>
      </c>
    </row>
    <row r="15" spans="1:10" ht="39.75" customHeight="1" thickBot="1">
      <c r="A15" s="527" t="s">
        <v>1498</v>
      </c>
      <c r="B15" s="528" t="s">
        <v>1524</v>
      </c>
      <c r="C15" s="529">
        <v>30</v>
      </c>
      <c r="D15" s="530">
        <v>30</v>
      </c>
      <c r="E15" s="531">
        <v>0</v>
      </c>
      <c r="F15" s="531">
        <v>0</v>
      </c>
      <c r="G15" s="532">
        <v>0</v>
      </c>
      <c r="H15" s="587" t="s">
        <v>1508</v>
      </c>
      <c r="I15" s="533" t="s">
        <v>1510</v>
      </c>
      <c r="J15" s="589"/>
    </row>
    <row r="16" spans="1:10" ht="20.100000000000001" customHeight="1">
      <c r="A16" s="366" t="s">
        <v>1349</v>
      </c>
      <c r="B16" s="361"/>
      <c r="C16" s="362"/>
      <c r="D16" s="362"/>
      <c r="E16" s="362"/>
      <c r="F16" s="362"/>
      <c r="G16" s="362"/>
      <c r="H16" s="361"/>
      <c r="I16" s="363"/>
      <c r="J16" s="347" t="s">
        <v>1389</v>
      </c>
    </row>
    <row r="17" spans="1:9" ht="20.100000000000001" hidden="1" customHeight="1">
      <c r="A17" s="347" t="s">
        <v>1226</v>
      </c>
      <c r="B17" s="365"/>
      <c r="C17" s="364"/>
      <c r="D17" s="364"/>
      <c r="E17" s="364"/>
      <c r="F17" s="364"/>
      <c r="G17" s="364"/>
      <c r="H17" s="364"/>
      <c r="I17" s="364"/>
    </row>
    <row r="18" spans="1:9" ht="20.100000000000001" customHeight="1">
      <c r="A18" s="347" t="s">
        <v>1227</v>
      </c>
      <c r="B18" s="365"/>
      <c r="C18" s="364"/>
      <c r="D18" s="364"/>
      <c r="E18" s="367" t="s">
        <v>1519</v>
      </c>
      <c r="F18" s="364"/>
      <c r="G18" s="364"/>
      <c r="H18" s="364"/>
      <c r="I18" s="364"/>
    </row>
    <row r="19" spans="1:9" ht="20.100000000000001" customHeight="1">
      <c r="A19" s="347" t="s">
        <v>1228</v>
      </c>
      <c r="B19" s="365"/>
      <c r="C19" s="364"/>
      <c r="D19" s="364"/>
      <c r="E19" s="367" t="s">
        <v>1520</v>
      </c>
      <c r="F19" s="364"/>
      <c r="G19" s="364"/>
      <c r="H19" s="364"/>
      <c r="I19" s="364"/>
    </row>
    <row r="20" spans="1:9" ht="20.100000000000001" customHeight="1">
      <c r="A20" s="347" t="s">
        <v>1229</v>
      </c>
      <c r="B20" s="365"/>
      <c r="C20" s="364"/>
      <c r="D20" s="364"/>
      <c r="E20" s="367" t="s">
        <v>1521</v>
      </c>
      <c r="F20" s="364"/>
      <c r="G20" s="364"/>
      <c r="H20" s="364"/>
      <c r="I20" s="364"/>
    </row>
    <row r="21" spans="1:9" ht="20.100000000000001" customHeight="1">
      <c r="A21" s="347" t="s">
        <v>1230</v>
      </c>
      <c r="B21" s="365"/>
      <c r="C21" s="364"/>
      <c r="D21" s="364"/>
      <c r="E21" s="367" t="s">
        <v>1522</v>
      </c>
      <c r="F21" s="364"/>
      <c r="G21" s="364"/>
      <c r="H21" s="364"/>
      <c r="I21" s="364"/>
    </row>
    <row r="22" spans="1:9" ht="20.100000000000001" customHeight="1">
      <c r="A22" s="347" t="s">
        <v>1231</v>
      </c>
      <c r="B22" s="365"/>
      <c r="C22" s="364"/>
      <c r="D22" s="364"/>
      <c r="E22" s="367" t="s">
        <v>1523</v>
      </c>
      <c r="F22" s="364"/>
      <c r="G22" s="364"/>
      <c r="H22" s="364"/>
      <c r="I22" s="364"/>
    </row>
    <row r="23" spans="1:9" ht="20.100000000000001" customHeight="1">
      <c r="A23" s="347" t="s">
        <v>1233</v>
      </c>
      <c r="B23" s="365"/>
      <c r="C23" s="364"/>
      <c r="D23" s="364"/>
      <c r="E23" s="364"/>
      <c r="F23" s="364"/>
      <c r="G23" s="364"/>
      <c r="H23" s="364"/>
      <c r="I23" s="364"/>
    </row>
    <row r="24" spans="1:9" ht="20.100000000000001" customHeight="1">
      <c r="B24" s="365"/>
      <c r="C24" s="364"/>
      <c r="D24" s="364"/>
      <c r="E24" s="364"/>
      <c r="F24" s="364"/>
      <c r="G24" s="364"/>
      <c r="H24" s="364"/>
      <c r="I24" s="364"/>
    </row>
    <row r="25" spans="1:9" ht="20.100000000000001" customHeight="1">
      <c r="B25" s="365"/>
      <c r="C25" s="364"/>
      <c r="D25" s="364"/>
      <c r="E25" s="364"/>
      <c r="F25" s="364"/>
      <c r="G25" s="364"/>
      <c r="H25" s="364"/>
      <c r="I25" s="364"/>
    </row>
    <row r="26" spans="1:9" ht="20.100000000000001" customHeight="1">
      <c r="B26" s="365"/>
      <c r="C26" s="364"/>
      <c r="D26" s="364"/>
    </row>
    <row r="27" spans="1:9" ht="20.100000000000001" customHeight="1">
      <c r="B27" s="365"/>
      <c r="C27" s="364"/>
      <c r="D27" s="364"/>
    </row>
    <row r="28" spans="1:9" ht="19.5" customHeight="1"/>
  </sheetData>
  <mergeCells count="7">
    <mergeCell ref="A1:I1"/>
    <mergeCell ref="A2:A3"/>
    <mergeCell ref="B2:B3"/>
    <mergeCell ref="C2:C3"/>
    <mergeCell ref="D2:G2"/>
    <mergeCell ref="H2:H3"/>
    <mergeCell ref="I2:I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0971-9EEA-416E-94F8-2D31BB01DAF9}">
  <sheetPr>
    <pageSetUpPr fitToPage="1"/>
  </sheetPr>
  <dimension ref="A1:J28"/>
  <sheetViews>
    <sheetView view="pageBreakPreview" topLeftCell="A8" zoomScaleNormal="85" zoomScaleSheetLayoutView="100" workbookViewId="0">
      <selection activeCell="F24" sqref="F1:F1048576"/>
    </sheetView>
  </sheetViews>
  <sheetFormatPr defaultRowHeight="39.950000000000003" customHeight="1"/>
  <cols>
    <col min="1" max="1" width="15.625" style="347" customWidth="1"/>
    <col min="2" max="8" width="12.625" style="347" customWidth="1"/>
    <col min="9" max="9" width="30.625" style="347" customWidth="1"/>
    <col min="10" max="10" width="42.75" style="347" bestFit="1" customWidth="1"/>
    <col min="11" max="256" width="9" style="347"/>
    <col min="257" max="257" width="12.5" style="347" customWidth="1"/>
    <col min="258" max="258" width="9.625" style="347" customWidth="1"/>
    <col min="259" max="259" width="8.625" style="347" customWidth="1"/>
    <col min="260" max="263" width="8.375" style="347" customWidth="1"/>
    <col min="264" max="264" width="12" style="347" customWidth="1"/>
    <col min="265" max="265" width="22.75" style="347" customWidth="1"/>
    <col min="266" max="512" width="9" style="347"/>
    <col min="513" max="513" width="12.5" style="347" customWidth="1"/>
    <col min="514" max="514" width="9.625" style="347" customWidth="1"/>
    <col min="515" max="515" width="8.625" style="347" customWidth="1"/>
    <col min="516" max="519" width="8.375" style="347" customWidth="1"/>
    <col min="520" max="520" width="12" style="347" customWidth="1"/>
    <col min="521" max="521" width="22.75" style="347" customWidth="1"/>
    <col min="522" max="768" width="9" style="347"/>
    <col min="769" max="769" width="12.5" style="347" customWidth="1"/>
    <col min="770" max="770" width="9.625" style="347" customWidth="1"/>
    <col min="771" max="771" width="8.625" style="347" customWidth="1"/>
    <col min="772" max="775" width="8.375" style="347" customWidth="1"/>
    <col min="776" max="776" width="12" style="347" customWidth="1"/>
    <col min="777" max="777" width="22.75" style="347" customWidth="1"/>
    <col min="778" max="1024" width="9" style="347"/>
    <col min="1025" max="1025" width="12.5" style="347" customWidth="1"/>
    <col min="1026" max="1026" width="9.625" style="347" customWidth="1"/>
    <col min="1027" max="1027" width="8.625" style="347" customWidth="1"/>
    <col min="1028" max="1031" width="8.375" style="347" customWidth="1"/>
    <col min="1032" max="1032" width="12" style="347" customWidth="1"/>
    <col min="1033" max="1033" width="22.75" style="347" customWidth="1"/>
    <col min="1034" max="1280" width="9" style="347"/>
    <col min="1281" max="1281" width="12.5" style="347" customWidth="1"/>
    <col min="1282" max="1282" width="9.625" style="347" customWidth="1"/>
    <col min="1283" max="1283" width="8.625" style="347" customWidth="1"/>
    <col min="1284" max="1287" width="8.375" style="347" customWidth="1"/>
    <col min="1288" max="1288" width="12" style="347" customWidth="1"/>
    <col min="1289" max="1289" width="22.75" style="347" customWidth="1"/>
    <col min="1290" max="1536" width="9" style="347"/>
    <col min="1537" max="1537" width="12.5" style="347" customWidth="1"/>
    <col min="1538" max="1538" width="9.625" style="347" customWidth="1"/>
    <col min="1539" max="1539" width="8.625" style="347" customWidth="1"/>
    <col min="1540" max="1543" width="8.375" style="347" customWidth="1"/>
    <col min="1544" max="1544" width="12" style="347" customWidth="1"/>
    <col min="1545" max="1545" width="22.75" style="347" customWidth="1"/>
    <col min="1546" max="1792" width="9" style="347"/>
    <col min="1793" max="1793" width="12.5" style="347" customWidth="1"/>
    <col min="1794" max="1794" width="9.625" style="347" customWidth="1"/>
    <col min="1795" max="1795" width="8.625" style="347" customWidth="1"/>
    <col min="1796" max="1799" width="8.375" style="347" customWidth="1"/>
    <col min="1800" max="1800" width="12" style="347" customWidth="1"/>
    <col min="1801" max="1801" width="22.75" style="347" customWidth="1"/>
    <col min="1802" max="2048" width="9" style="347"/>
    <col min="2049" max="2049" width="12.5" style="347" customWidth="1"/>
    <col min="2050" max="2050" width="9.625" style="347" customWidth="1"/>
    <col min="2051" max="2051" width="8.625" style="347" customWidth="1"/>
    <col min="2052" max="2055" width="8.375" style="347" customWidth="1"/>
    <col min="2056" max="2056" width="12" style="347" customWidth="1"/>
    <col min="2057" max="2057" width="22.75" style="347" customWidth="1"/>
    <col min="2058" max="2304" width="9" style="347"/>
    <col min="2305" max="2305" width="12.5" style="347" customWidth="1"/>
    <col min="2306" max="2306" width="9.625" style="347" customWidth="1"/>
    <col min="2307" max="2307" width="8.625" style="347" customWidth="1"/>
    <col min="2308" max="2311" width="8.375" style="347" customWidth="1"/>
    <col min="2312" max="2312" width="12" style="347" customWidth="1"/>
    <col min="2313" max="2313" width="22.75" style="347" customWidth="1"/>
    <col min="2314" max="2560" width="9" style="347"/>
    <col min="2561" max="2561" width="12.5" style="347" customWidth="1"/>
    <col min="2562" max="2562" width="9.625" style="347" customWidth="1"/>
    <col min="2563" max="2563" width="8.625" style="347" customWidth="1"/>
    <col min="2564" max="2567" width="8.375" style="347" customWidth="1"/>
    <col min="2568" max="2568" width="12" style="347" customWidth="1"/>
    <col min="2569" max="2569" width="22.75" style="347" customWidth="1"/>
    <col min="2570" max="2816" width="9" style="347"/>
    <col min="2817" max="2817" width="12.5" style="347" customWidth="1"/>
    <col min="2818" max="2818" width="9.625" style="347" customWidth="1"/>
    <col min="2819" max="2819" width="8.625" style="347" customWidth="1"/>
    <col min="2820" max="2823" width="8.375" style="347" customWidth="1"/>
    <col min="2824" max="2824" width="12" style="347" customWidth="1"/>
    <col min="2825" max="2825" width="22.75" style="347" customWidth="1"/>
    <col min="2826" max="3072" width="9" style="347"/>
    <col min="3073" max="3073" width="12.5" style="347" customWidth="1"/>
    <col min="3074" max="3074" width="9.625" style="347" customWidth="1"/>
    <col min="3075" max="3075" width="8.625" style="347" customWidth="1"/>
    <col min="3076" max="3079" width="8.375" style="347" customWidth="1"/>
    <col min="3080" max="3080" width="12" style="347" customWidth="1"/>
    <col min="3081" max="3081" width="22.75" style="347" customWidth="1"/>
    <col min="3082" max="3328" width="9" style="347"/>
    <col min="3329" max="3329" width="12.5" style="347" customWidth="1"/>
    <col min="3330" max="3330" width="9.625" style="347" customWidth="1"/>
    <col min="3331" max="3331" width="8.625" style="347" customWidth="1"/>
    <col min="3332" max="3335" width="8.375" style="347" customWidth="1"/>
    <col min="3336" max="3336" width="12" style="347" customWidth="1"/>
    <col min="3337" max="3337" width="22.75" style="347" customWidth="1"/>
    <col min="3338" max="3584" width="9" style="347"/>
    <col min="3585" max="3585" width="12.5" style="347" customWidth="1"/>
    <col min="3586" max="3586" width="9.625" style="347" customWidth="1"/>
    <col min="3587" max="3587" width="8.625" style="347" customWidth="1"/>
    <col min="3588" max="3591" width="8.375" style="347" customWidth="1"/>
    <col min="3592" max="3592" width="12" style="347" customWidth="1"/>
    <col min="3593" max="3593" width="22.75" style="347" customWidth="1"/>
    <col min="3594" max="3840" width="9" style="347"/>
    <col min="3841" max="3841" width="12.5" style="347" customWidth="1"/>
    <col min="3842" max="3842" width="9.625" style="347" customWidth="1"/>
    <col min="3843" max="3843" width="8.625" style="347" customWidth="1"/>
    <col min="3844" max="3847" width="8.375" style="347" customWidth="1"/>
    <col min="3848" max="3848" width="12" style="347" customWidth="1"/>
    <col min="3849" max="3849" width="22.75" style="347" customWidth="1"/>
    <col min="3850" max="4096" width="9" style="347"/>
    <col min="4097" max="4097" width="12.5" style="347" customWidth="1"/>
    <col min="4098" max="4098" width="9.625" style="347" customWidth="1"/>
    <col min="4099" max="4099" width="8.625" style="347" customWidth="1"/>
    <col min="4100" max="4103" width="8.375" style="347" customWidth="1"/>
    <col min="4104" max="4104" width="12" style="347" customWidth="1"/>
    <col min="4105" max="4105" width="22.75" style="347" customWidth="1"/>
    <col min="4106" max="4352" width="9" style="347"/>
    <col min="4353" max="4353" width="12.5" style="347" customWidth="1"/>
    <col min="4354" max="4354" width="9.625" style="347" customWidth="1"/>
    <col min="4355" max="4355" width="8.625" style="347" customWidth="1"/>
    <col min="4356" max="4359" width="8.375" style="347" customWidth="1"/>
    <col min="4360" max="4360" width="12" style="347" customWidth="1"/>
    <col min="4361" max="4361" width="22.75" style="347" customWidth="1"/>
    <col min="4362" max="4608" width="9" style="347"/>
    <col min="4609" max="4609" width="12.5" style="347" customWidth="1"/>
    <col min="4610" max="4610" width="9.625" style="347" customWidth="1"/>
    <col min="4611" max="4611" width="8.625" style="347" customWidth="1"/>
    <col min="4612" max="4615" width="8.375" style="347" customWidth="1"/>
    <col min="4616" max="4616" width="12" style="347" customWidth="1"/>
    <col min="4617" max="4617" width="22.75" style="347" customWidth="1"/>
    <col min="4618" max="4864" width="9" style="347"/>
    <col min="4865" max="4865" width="12.5" style="347" customWidth="1"/>
    <col min="4866" max="4866" width="9.625" style="347" customWidth="1"/>
    <col min="4867" max="4867" width="8.625" style="347" customWidth="1"/>
    <col min="4868" max="4871" width="8.375" style="347" customWidth="1"/>
    <col min="4872" max="4872" width="12" style="347" customWidth="1"/>
    <col min="4873" max="4873" width="22.75" style="347" customWidth="1"/>
    <col min="4874" max="5120" width="9" style="347"/>
    <col min="5121" max="5121" width="12.5" style="347" customWidth="1"/>
    <col min="5122" max="5122" width="9.625" style="347" customWidth="1"/>
    <col min="5123" max="5123" width="8.625" style="347" customWidth="1"/>
    <col min="5124" max="5127" width="8.375" style="347" customWidth="1"/>
    <col min="5128" max="5128" width="12" style="347" customWidth="1"/>
    <col min="5129" max="5129" width="22.75" style="347" customWidth="1"/>
    <col min="5130" max="5376" width="9" style="347"/>
    <col min="5377" max="5377" width="12.5" style="347" customWidth="1"/>
    <col min="5378" max="5378" width="9.625" style="347" customWidth="1"/>
    <col min="5379" max="5379" width="8.625" style="347" customWidth="1"/>
    <col min="5380" max="5383" width="8.375" style="347" customWidth="1"/>
    <col min="5384" max="5384" width="12" style="347" customWidth="1"/>
    <col min="5385" max="5385" width="22.75" style="347" customWidth="1"/>
    <col min="5386" max="5632" width="9" style="347"/>
    <col min="5633" max="5633" width="12.5" style="347" customWidth="1"/>
    <col min="5634" max="5634" width="9.625" style="347" customWidth="1"/>
    <col min="5635" max="5635" width="8.625" style="347" customWidth="1"/>
    <col min="5636" max="5639" width="8.375" style="347" customWidth="1"/>
    <col min="5640" max="5640" width="12" style="347" customWidth="1"/>
    <col min="5641" max="5641" width="22.75" style="347" customWidth="1"/>
    <col min="5642" max="5888" width="9" style="347"/>
    <col min="5889" max="5889" width="12.5" style="347" customWidth="1"/>
    <col min="5890" max="5890" width="9.625" style="347" customWidth="1"/>
    <col min="5891" max="5891" width="8.625" style="347" customWidth="1"/>
    <col min="5892" max="5895" width="8.375" style="347" customWidth="1"/>
    <col min="5896" max="5896" width="12" style="347" customWidth="1"/>
    <col min="5897" max="5897" width="22.75" style="347" customWidth="1"/>
    <col min="5898" max="6144" width="9" style="347"/>
    <col min="6145" max="6145" width="12.5" style="347" customWidth="1"/>
    <col min="6146" max="6146" width="9.625" style="347" customWidth="1"/>
    <col min="6147" max="6147" width="8.625" style="347" customWidth="1"/>
    <col min="6148" max="6151" width="8.375" style="347" customWidth="1"/>
    <col min="6152" max="6152" width="12" style="347" customWidth="1"/>
    <col min="6153" max="6153" width="22.75" style="347" customWidth="1"/>
    <col min="6154" max="6400" width="9" style="347"/>
    <col min="6401" max="6401" width="12.5" style="347" customWidth="1"/>
    <col min="6402" max="6402" width="9.625" style="347" customWidth="1"/>
    <col min="6403" max="6403" width="8.625" style="347" customWidth="1"/>
    <col min="6404" max="6407" width="8.375" style="347" customWidth="1"/>
    <col min="6408" max="6408" width="12" style="347" customWidth="1"/>
    <col min="6409" max="6409" width="22.75" style="347" customWidth="1"/>
    <col min="6410" max="6656" width="9" style="347"/>
    <col min="6657" max="6657" width="12.5" style="347" customWidth="1"/>
    <col min="6658" max="6658" width="9.625" style="347" customWidth="1"/>
    <col min="6659" max="6659" width="8.625" style="347" customWidth="1"/>
    <col min="6660" max="6663" width="8.375" style="347" customWidth="1"/>
    <col min="6664" max="6664" width="12" style="347" customWidth="1"/>
    <col min="6665" max="6665" width="22.75" style="347" customWidth="1"/>
    <col min="6666" max="6912" width="9" style="347"/>
    <col min="6913" max="6913" width="12.5" style="347" customWidth="1"/>
    <col min="6914" max="6914" width="9.625" style="347" customWidth="1"/>
    <col min="6915" max="6915" width="8.625" style="347" customWidth="1"/>
    <col min="6916" max="6919" width="8.375" style="347" customWidth="1"/>
    <col min="6920" max="6920" width="12" style="347" customWidth="1"/>
    <col min="6921" max="6921" width="22.75" style="347" customWidth="1"/>
    <col min="6922" max="7168" width="9" style="347"/>
    <col min="7169" max="7169" width="12.5" style="347" customWidth="1"/>
    <col min="7170" max="7170" width="9.625" style="347" customWidth="1"/>
    <col min="7171" max="7171" width="8.625" style="347" customWidth="1"/>
    <col min="7172" max="7175" width="8.375" style="347" customWidth="1"/>
    <col min="7176" max="7176" width="12" style="347" customWidth="1"/>
    <col min="7177" max="7177" width="22.75" style="347" customWidth="1"/>
    <col min="7178" max="7424" width="9" style="347"/>
    <col min="7425" max="7425" width="12.5" style="347" customWidth="1"/>
    <col min="7426" max="7426" width="9.625" style="347" customWidth="1"/>
    <col min="7427" max="7427" width="8.625" style="347" customWidth="1"/>
    <col min="7428" max="7431" width="8.375" style="347" customWidth="1"/>
    <col min="7432" max="7432" width="12" style="347" customWidth="1"/>
    <col min="7433" max="7433" width="22.75" style="347" customWidth="1"/>
    <col min="7434" max="7680" width="9" style="347"/>
    <col min="7681" max="7681" width="12.5" style="347" customWidth="1"/>
    <col min="7682" max="7682" width="9.625" style="347" customWidth="1"/>
    <col min="7683" max="7683" width="8.625" style="347" customWidth="1"/>
    <col min="7684" max="7687" width="8.375" style="347" customWidth="1"/>
    <col min="7688" max="7688" width="12" style="347" customWidth="1"/>
    <col min="7689" max="7689" width="22.75" style="347" customWidth="1"/>
    <col min="7690" max="7936" width="9" style="347"/>
    <col min="7937" max="7937" width="12.5" style="347" customWidth="1"/>
    <col min="7938" max="7938" width="9.625" style="347" customWidth="1"/>
    <col min="7939" max="7939" width="8.625" style="347" customWidth="1"/>
    <col min="7940" max="7943" width="8.375" style="347" customWidth="1"/>
    <col min="7944" max="7944" width="12" style="347" customWidth="1"/>
    <col min="7945" max="7945" width="22.75" style="347" customWidth="1"/>
    <col min="7946" max="8192" width="9" style="347"/>
    <col min="8193" max="8193" width="12.5" style="347" customWidth="1"/>
    <col min="8194" max="8194" width="9.625" style="347" customWidth="1"/>
    <col min="8195" max="8195" width="8.625" style="347" customWidth="1"/>
    <col min="8196" max="8199" width="8.375" style="347" customWidth="1"/>
    <col min="8200" max="8200" width="12" style="347" customWidth="1"/>
    <col min="8201" max="8201" width="22.75" style="347" customWidth="1"/>
    <col min="8202" max="8448" width="9" style="347"/>
    <col min="8449" max="8449" width="12.5" style="347" customWidth="1"/>
    <col min="8450" max="8450" width="9.625" style="347" customWidth="1"/>
    <col min="8451" max="8451" width="8.625" style="347" customWidth="1"/>
    <col min="8452" max="8455" width="8.375" style="347" customWidth="1"/>
    <col min="8456" max="8456" width="12" style="347" customWidth="1"/>
    <col min="8457" max="8457" width="22.75" style="347" customWidth="1"/>
    <col min="8458" max="8704" width="9" style="347"/>
    <col min="8705" max="8705" width="12.5" style="347" customWidth="1"/>
    <col min="8706" max="8706" width="9.625" style="347" customWidth="1"/>
    <col min="8707" max="8707" width="8.625" style="347" customWidth="1"/>
    <col min="8708" max="8711" width="8.375" style="347" customWidth="1"/>
    <col min="8712" max="8712" width="12" style="347" customWidth="1"/>
    <col min="8713" max="8713" width="22.75" style="347" customWidth="1"/>
    <col min="8714" max="8960" width="9" style="347"/>
    <col min="8961" max="8961" width="12.5" style="347" customWidth="1"/>
    <col min="8962" max="8962" width="9.625" style="347" customWidth="1"/>
    <col min="8963" max="8963" width="8.625" style="347" customWidth="1"/>
    <col min="8964" max="8967" width="8.375" style="347" customWidth="1"/>
    <col min="8968" max="8968" width="12" style="347" customWidth="1"/>
    <col min="8969" max="8969" width="22.75" style="347" customWidth="1"/>
    <col min="8970" max="9216" width="9" style="347"/>
    <col min="9217" max="9217" width="12.5" style="347" customWidth="1"/>
    <col min="9218" max="9218" width="9.625" style="347" customWidth="1"/>
    <col min="9219" max="9219" width="8.625" style="347" customWidth="1"/>
    <col min="9220" max="9223" width="8.375" style="347" customWidth="1"/>
    <col min="9224" max="9224" width="12" style="347" customWidth="1"/>
    <col min="9225" max="9225" width="22.75" style="347" customWidth="1"/>
    <col min="9226" max="9472" width="9" style="347"/>
    <col min="9473" max="9473" width="12.5" style="347" customWidth="1"/>
    <col min="9474" max="9474" width="9.625" style="347" customWidth="1"/>
    <col min="9475" max="9475" width="8.625" style="347" customWidth="1"/>
    <col min="9476" max="9479" width="8.375" style="347" customWidth="1"/>
    <col min="9480" max="9480" width="12" style="347" customWidth="1"/>
    <col min="9481" max="9481" width="22.75" style="347" customWidth="1"/>
    <col min="9482" max="9728" width="9" style="347"/>
    <col min="9729" max="9729" width="12.5" style="347" customWidth="1"/>
    <col min="9730" max="9730" width="9.625" style="347" customWidth="1"/>
    <col min="9731" max="9731" width="8.625" style="347" customWidth="1"/>
    <col min="9732" max="9735" width="8.375" style="347" customWidth="1"/>
    <col min="9736" max="9736" width="12" style="347" customWidth="1"/>
    <col min="9737" max="9737" width="22.75" style="347" customWidth="1"/>
    <col min="9738" max="9984" width="9" style="347"/>
    <col min="9985" max="9985" width="12.5" style="347" customWidth="1"/>
    <col min="9986" max="9986" width="9.625" style="347" customWidth="1"/>
    <col min="9987" max="9987" width="8.625" style="347" customWidth="1"/>
    <col min="9988" max="9991" width="8.375" style="347" customWidth="1"/>
    <col min="9992" max="9992" width="12" style="347" customWidth="1"/>
    <col min="9993" max="9993" width="22.75" style="347" customWidth="1"/>
    <col min="9994" max="10240" width="9" style="347"/>
    <col min="10241" max="10241" width="12.5" style="347" customWidth="1"/>
    <col min="10242" max="10242" width="9.625" style="347" customWidth="1"/>
    <col min="10243" max="10243" width="8.625" style="347" customWidth="1"/>
    <col min="10244" max="10247" width="8.375" style="347" customWidth="1"/>
    <col min="10248" max="10248" width="12" style="347" customWidth="1"/>
    <col min="10249" max="10249" width="22.75" style="347" customWidth="1"/>
    <col min="10250" max="10496" width="9" style="347"/>
    <col min="10497" max="10497" width="12.5" style="347" customWidth="1"/>
    <col min="10498" max="10498" width="9.625" style="347" customWidth="1"/>
    <col min="10499" max="10499" width="8.625" style="347" customWidth="1"/>
    <col min="10500" max="10503" width="8.375" style="347" customWidth="1"/>
    <col min="10504" max="10504" width="12" style="347" customWidth="1"/>
    <col min="10505" max="10505" width="22.75" style="347" customWidth="1"/>
    <col min="10506" max="10752" width="9" style="347"/>
    <col min="10753" max="10753" width="12.5" style="347" customWidth="1"/>
    <col min="10754" max="10754" width="9.625" style="347" customWidth="1"/>
    <col min="10755" max="10755" width="8.625" style="347" customWidth="1"/>
    <col min="10756" max="10759" width="8.375" style="347" customWidth="1"/>
    <col min="10760" max="10760" width="12" style="347" customWidth="1"/>
    <col min="10761" max="10761" width="22.75" style="347" customWidth="1"/>
    <col min="10762" max="11008" width="9" style="347"/>
    <col min="11009" max="11009" width="12.5" style="347" customWidth="1"/>
    <col min="11010" max="11010" width="9.625" style="347" customWidth="1"/>
    <col min="11011" max="11011" width="8.625" style="347" customWidth="1"/>
    <col min="11012" max="11015" width="8.375" style="347" customWidth="1"/>
    <col min="11016" max="11016" width="12" style="347" customWidth="1"/>
    <col min="11017" max="11017" width="22.75" style="347" customWidth="1"/>
    <col min="11018" max="11264" width="9" style="347"/>
    <col min="11265" max="11265" width="12.5" style="347" customWidth="1"/>
    <col min="11266" max="11266" width="9.625" style="347" customWidth="1"/>
    <col min="11267" max="11267" width="8.625" style="347" customWidth="1"/>
    <col min="11268" max="11271" width="8.375" style="347" customWidth="1"/>
    <col min="11272" max="11272" width="12" style="347" customWidth="1"/>
    <col min="11273" max="11273" width="22.75" style="347" customWidth="1"/>
    <col min="11274" max="11520" width="9" style="347"/>
    <col min="11521" max="11521" width="12.5" style="347" customWidth="1"/>
    <col min="11522" max="11522" width="9.625" style="347" customWidth="1"/>
    <col min="11523" max="11523" width="8.625" style="347" customWidth="1"/>
    <col min="11524" max="11527" width="8.375" style="347" customWidth="1"/>
    <col min="11528" max="11528" width="12" style="347" customWidth="1"/>
    <col min="11529" max="11529" width="22.75" style="347" customWidth="1"/>
    <col min="11530" max="11776" width="9" style="347"/>
    <col min="11777" max="11777" width="12.5" style="347" customWidth="1"/>
    <col min="11778" max="11778" width="9.625" style="347" customWidth="1"/>
    <col min="11779" max="11779" width="8.625" style="347" customWidth="1"/>
    <col min="11780" max="11783" width="8.375" style="347" customWidth="1"/>
    <col min="11784" max="11784" width="12" style="347" customWidth="1"/>
    <col min="11785" max="11785" width="22.75" style="347" customWidth="1"/>
    <col min="11786" max="12032" width="9" style="347"/>
    <col min="12033" max="12033" width="12.5" style="347" customWidth="1"/>
    <col min="12034" max="12034" width="9.625" style="347" customWidth="1"/>
    <col min="12035" max="12035" width="8.625" style="347" customWidth="1"/>
    <col min="12036" max="12039" width="8.375" style="347" customWidth="1"/>
    <col min="12040" max="12040" width="12" style="347" customWidth="1"/>
    <col min="12041" max="12041" width="22.75" style="347" customWidth="1"/>
    <col min="12042" max="12288" width="9" style="347"/>
    <col min="12289" max="12289" width="12.5" style="347" customWidth="1"/>
    <col min="12290" max="12290" width="9.625" style="347" customWidth="1"/>
    <col min="12291" max="12291" width="8.625" style="347" customWidth="1"/>
    <col min="12292" max="12295" width="8.375" style="347" customWidth="1"/>
    <col min="12296" max="12296" width="12" style="347" customWidth="1"/>
    <col min="12297" max="12297" width="22.75" style="347" customWidth="1"/>
    <col min="12298" max="12544" width="9" style="347"/>
    <col min="12545" max="12545" width="12.5" style="347" customWidth="1"/>
    <col min="12546" max="12546" width="9.625" style="347" customWidth="1"/>
    <col min="12547" max="12547" width="8.625" style="347" customWidth="1"/>
    <col min="12548" max="12551" width="8.375" style="347" customWidth="1"/>
    <col min="12552" max="12552" width="12" style="347" customWidth="1"/>
    <col min="12553" max="12553" width="22.75" style="347" customWidth="1"/>
    <col min="12554" max="12800" width="9" style="347"/>
    <col min="12801" max="12801" width="12.5" style="347" customWidth="1"/>
    <col min="12802" max="12802" width="9.625" style="347" customWidth="1"/>
    <col min="12803" max="12803" width="8.625" style="347" customWidth="1"/>
    <col min="12804" max="12807" width="8.375" style="347" customWidth="1"/>
    <col min="12808" max="12808" width="12" style="347" customWidth="1"/>
    <col min="12809" max="12809" width="22.75" style="347" customWidth="1"/>
    <col min="12810" max="13056" width="9" style="347"/>
    <col min="13057" max="13057" width="12.5" style="347" customWidth="1"/>
    <col min="13058" max="13058" width="9.625" style="347" customWidth="1"/>
    <col min="13059" max="13059" width="8.625" style="347" customWidth="1"/>
    <col min="13060" max="13063" width="8.375" style="347" customWidth="1"/>
    <col min="13064" max="13064" width="12" style="347" customWidth="1"/>
    <col min="13065" max="13065" width="22.75" style="347" customWidth="1"/>
    <col min="13066" max="13312" width="9" style="347"/>
    <col min="13313" max="13313" width="12.5" style="347" customWidth="1"/>
    <col min="13314" max="13314" width="9.625" style="347" customWidth="1"/>
    <col min="13315" max="13315" width="8.625" style="347" customWidth="1"/>
    <col min="13316" max="13319" width="8.375" style="347" customWidth="1"/>
    <col min="13320" max="13320" width="12" style="347" customWidth="1"/>
    <col min="13321" max="13321" width="22.75" style="347" customWidth="1"/>
    <col min="13322" max="13568" width="9" style="347"/>
    <col min="13569" max="13569" width="12.5" style="347" customWidth="1"/>
    <col min="13570" max="13570" width="9.625" style="347" customWidth="1"/>
    <col min="13571" max="13571" width="8.625" style="347" customWidth="1"/>
    <col min="13572" max="13575" width="8.375" style="347" customWidth="1"/>
    <col min="13576" max="13576" width="12" style="347" customWidth="1"/>
    <col min="13577" max="13577" width="22.75" style="347" customWidth="1"/>
    <col min="13578" max="13824" width="9" style="347"/>
    <col min="13825" max="13825" width="12.5" style="347" customWidth="1"/>
    <col min="13826" max="13826" width="9.625" style="347" customWidth="1"/>
    <col min="13827" max="13827" width="8.625" style="347" customWidth="1"/>
    <col min="13828" max="13831" width="8.375" style="347" customWidth="1"/>
    <col min="13832" max="13832" width="12" style="347" customWidth="1"/>
    <col min="13833" max="13833" width="22.75" style="347" customWidth="1"/>
    <col min="13834" max="14080" width="9" style="347"/>
    <col min="14081" max="14081" width="12.5" style="347" customWidth="1"/>
    <col min="14082" max="14082" width="9.625" style="347" customWidth="1"/>
    <col min="14083" max="14083" width="8.625" style="347" customWidth="1"/>
    <col min="14084" max="14087" width="8.375" style="347" customWidth="1"/>
    <col min="14088" max="14088" width="12" style="347" customWidth="1"/>
    <col min="14089" max="14089" width="22.75" style="347" customWidth="1"/>
    <col min="14090" max="14336" width="9" style="347"/>
    <col min="14337" max="14337" width="12.5" style="347" customWidth="1"/>
    <col min="14338" max="14338" width="9.625" style="347" customWidth="1"/>
    <col min="14339" max="14339" width="8.625" style="347" customWidth="1"/>
    <col min="14340" max="14343" width="8.375" style="347" customWidth="1"/>
    <col min="14344" max="14344" width="12" style="347" customWidth="1"/>
    <col min="14345" max="14345" width="22.75" style="347" customWidth="1"/>
    <col min="14346" max="14592" width="9" style="347"/>
    <col min="14593" max="14593" width="12.5" style="347" customWidth="1"/>
    <col min="14594" max="14594" width="9.625" style="347" customWidth="1"/>
    <col min="14595" max="14595" width="8.625" style="347" customWidth="1"/>
    <col min="14596" max="14599" width="8.375" style="347" customWidth="1"/>
    <col min="14600" max="14600" width="12" style="347" customWidth="1"/>
    <col min="14601" max="14601" width="22.75" style="347" customWidth="1"/>
    <col min="14602" max="14848" width="9" style="347"/>
    <col min="14849" max="14849" width="12.5" style="347" customWidth="1"/>
    <col min="14850" max="14850" width="9.625" style="347" customWidth="1"/>
    <col min="14851" max="14851" width="8.625" style="347" customWidth="1"/>
    <col min="14852" max="14855" width="8.375" style="347" customWidth="1"/>
    <col min="14856" max="14856" width="12" style="347" customWidth="1"/>
    <col min="14857" max="14857" width="22.75" style="347" customWidth="1"/>
    <col min="14858" max="15104" width="9" style="347"/>
    <col min="15105" max="15105" width="12.5" style="347" customWidth="1"/>
    <col min="15106" max="15106" width="9.625" style="347" customWidth="1"/>
    <col min="15107" max="15107" width="8.625" style="347" customWidth="1"/>
    <col min="15108" max="15111" width="8.375" style="347" customWidth="1"/>
    <col min="15112" max="15112" width="12" style="347" customWidth="1"/>
    <col min="15113" max="15113" width="22.75" style="347" customWidth="1"/>
    <col min="15114" max="15360" width="9" style="347"/>
    <col min="15361" max="15361" width="12.5" style="347" customWidth="1"/>
    <col min="15362" max="15362" width="9.625" style="347" customWidth="1"/>
    <col min="15363" max="15363" width="8.625" style="347" customWidth="1"/>
    <col min="15364" max="15367" width="8.375" style="347" customWidth="1"/>
    <col min="15368" max="15368" width="12" style="347" customWidth="1"/>
    <col min="15369" max="15369" width="22.75" style="347" customWidth="1"/>
    <col min="15370" max="15616" width="9" style="347"/>
    <col min="15617" max="15617" width="12.5" style="347" customWidth="1"/>
    <col min="15618" max="15618" width="9.625" style="347" customWidth="1"/>
    <col min="15619" max="15619" width="8.625" style="347" customWidth="1"/>
    <col min="15620" max="15623" width="8.375" style="347" customWidth="1"/>
    <col min="15624" max="15624" width="12" style="347" customWidth="1"/>
    <col min="15625" max="15625" width="22.75" style="347" customWidth="1"/>
    <col min="15626" max="15872" width="9" style="347"/>
    <col min="15873" max="15873" width="12.5" style="347" customWidth="1"/>
    <col min="15874" max="15874" width="9.625" style="347" customWidth="1"/>
    <col min="15875" max="15875" width="8.625" style="347" customWidth="1"/>
    <col min="15876" max="15879" width="8.375" style="347" customWidth="1"/>
    <col min="15880" max="15880" width="12" style="347" customWidth="1"/>
    <col min="15881" max="15881" width="22.75" style="347" customWidth="1"/>
    <col min="15882" max="16128" width="9" style="347"/>
    <col min="16129" max="16129" width="12.5" style="347" customWidth="1"/>
    <col min="16130" max="16130" width="9.625" style="347" customWidth="1"/>
    <col min="16131" max="16131" width="8.625" style="347" customWidth="1"/>
    <col min="16132" max="16135" width="8.375" style="347" customWidth="1"/>
    <col min="16136" max="16136" width="12" style="347" customWidth="1"/>
    <col min="16137" max="16137" width="22.75" style="347" customWidth="1"/>
    <col min="16138" max="16384" width="9" style="347"/>
  </cols>
  <sheetData>
    <row r="1" spans="1:10" s="346" customFormat="1" ht="39.950000000000003" customHeight="1" thickBot="1">
      <c r="A1" s="692" t="s">
        <v>1516</v>
      </c>
      <c r="B1" s="692"/>
      <c r="C1" s="692"/>
      <c r="D1" s="692"/>
      <c r="E1" s="692"/>
      <c r="F1" s="692"/>
      <c r="G1" s="692"/>
      <c r="H1" s="692"/>
      <c r="I1" s="692"/>
    </row>
    <row r="2" spans="1:10" ht="39.950000000000003" customHeight="1">
      <c r="A2" s="693"/>
      <c r="B2" s="695" t="s">
        <v>1236</v>
      </c>
      <c r="C2" s="697" t="s">
        <v>1204</v>
      </c>
      <c r="D2" s="699" t="s">
        <v>1234</v>
      </c>
      <c r="E2" s="700"/>
      <c r="F2" s="700"/>
      <c r="G2" s="701"/>
      <c r="H2" s="702" t="s">
        <v>1235</v>
      </c>
      <c r="I2" s="704" t="s">
        <v>1237</v>
      </c>
    </row>
    <row r="3" spans="1:10" ht="39.950000000000003" customHeight="1" thickBot="1">
      <c r="A3" s="694"/>
      <c r="B3" s="696"/>
      <c r="C3" s="698"/>
      <c r="D3" s="374" t="s">
        <v>1205</v>
      </c>
      <c r="E3" s="375" t="s">
        <v>1322</v>
      </c>
      <c r="F3" s="375" t="s">
        <v>1323</v>
      </c>
      <c r="G3" s="376" t="s">
        <v>1206</v>
      </c>
      <c r="H3" s="703"/>
      <c r="I3" s="705"/>
    </row>
    <row r="4" spans="1:10" ht="50.1" hidden="1" customHeight="1" thickTop="1">
      <c r="A4" s="348" t="s">
        <v>1207</v>
      </c>
      <c r="B4" s="349" t="s">
        <v>1224</v>
      </c>
      <c r="C4" s="350">
        <v>46</v>
      </c>
      <c r="D4" s="351">
        <v>45</v>
      </c>
      <c r="E4" s="352">
        <v>1</v>
      </c>
      <c r="F4" s="352">
        <v>0</v>
      </c>
      <c r="G4" s="353">
        <v>0</v>
      </c>
      <c r="H4" s="354" t="s">
        <v>1225</v>
      </c>
      <c r="I4" s="370" t="s">
        <v>1244</v>
      </c>
    </row>
    <row r="5" spans="1:10" ht="39.75" customHeight="1" thickTop="1">
      <c r="A5" s="377" t="s">
        <v>1209</v>
      </c>
      <c r="B5" s="349" t="s">
        <v>1528</v>
      </c>
      <c r="C5" s="350">
        <v>18</v>
      </c>
      <c r="D5" s="351">
        <v>18</v>
      </c>
      <c r="E5" s="352">
        <v>0</v>
      </c>
      <c r="F5" s="352">
        <v>0</v>
      </c>
      <c r="G5" s="353">
        <v>0</v>
      </c>
      <c r="H5" s="354" t="s">
        <v>1529</v>
      </c>
      <c r="I5" s="370" t="s">
        <v>1243</v>
      </c>
    </row>
    <row r="6" spans="1:10" ht="39.75" customHeight="1">
      <c r="A6" s="377" t="s">
        <v>1210</v>
      </c>
      <c r="B6" s="349" t="s">
        <v>1530</v>
      </c>
      <c r="C6" s="350">
        <v>29</v>
      </c>
      <c r="D6" s="351">
        <v>29</v>
      </c>
      <c r="E6" s="352">
        <v>0</v>
      </c>
      <c r="F6" s="352">
        <v>0</v>
      </c>
      <c r="G6" s="353">
        <v>0</v>
      </c>
      <c r="H6" s="354" t="s">
        <v>1531</v>
      </c>
      <c r="I6" s="370" t="s">
        <v>1242</v>
      </c>
    </row>
    <row r="7" spans="1:10" ht="39.75" customHeight="1">
      <c r="A7" s="378" t="s">
        <v>1211</v>
      </c>
      <c r="B7" s="355" t="s">
        <v>1532</v>
      </c>
      <c r="C7" s="356">
        <v>19</v>
      </c>
      <c r="D7" s="357">
        <v>19</v>
      </c>
      <c r="E7" s="358">
        <v>0</v>
      </c>
      <c r="F7" s="358">
        <v>0</v>
      </c>
      <c r="G7" s="359">
        <v>0</v>
      </c>
      <c r="H7" s="360" t="s">
        <v>1533</v>
      </c>
      <c r="I7" s="371" t="s">
        <v>1241</v>
      </c>
    </row>
    <row r="8" spans="1:10" ht="39.75" customHeight="1">
      <c r="A8" s="377" t="s">
        <v>1212</v>
      </c>
      <c r="B8" s="349" t="s">
        <v>1534</v>
      </c>
      <c r="C8" s="350">
        <v>32</v>
      </c>
      <c r="D8" s="351">
        <v>32</v>
      </c>
      <c r="E8" s="352">
        <v>0</v>
      </c>
      <c r="F8" s="352">
        <v>0</v>
      </c>
      <c r="G8" s="353">
        <v>0</v>
      </c>
      <c r="H8" s="354" t="s">
        <v>1535</v>
      </c>
      <c r="I8" s="370" t="s">
        <v>1240</v>
      </c>
    </row>
    <row r="9" spans="1:10" ht="39.75" customHeight="1">
      <c r="A9" s="377" t="s">
        <v>1223</v>
      </c>
      <c r="B9" s="349" t="s">
        <v>1536</v>
      </c>
      <c r="C9" s="350">
        <v>28</v>
      </c>
      <c r="D9" s="351">
        <v>28</v>
      </c>
      <c r="E9" s="352">
        <v>0</v>
      </c>
      <c r="F9" s="352">
        <v>0</v>
      </c>
      <c r="G9" s="353">
        <v>0</v>
      </c>
      <c r="H9" s="354" t="s">
        <v>1537</v>
      </c>
      <c r="I9" s="370" t="s">
        <v>1238</v>
      </c>
    </row>
    <row r="10" spans="1:10" ht="39.75" customHeight="1">
      <c r="A10" s="377" t="s">
        <v>1324</v>
      </c>
      <c r="B10" s="349" t="s">
        <v>1538</v>
      </c>
      <c r="C10" s="350">
        <v>38</v>
      </c>
      <c r="D10" s="351">
        <v>37</v>
      </c>
      <c r="E10" s="352">
        <v>1</v>
      </c>
      <c r="F10" s="352">
        <v>0</v>
      </c>
      <c r="G10" s="353">
        <v>0</v>
      </c>
      <c r="H10" s="354" t="s">
        <v>1539</v>
      </c>
      <c r="I10" s="370" t="s">
        <v>1326</v>
      </c>
    </row>
    <row r="11" spans="1:10" ht="39.75" customHeight="1">
      <c r="A11" s="534" t="s">
        <v>1341</v>
      </c>
      <c r="B11" s="535" t="s">
        <v>1540</v>
      </c>
      <c r="C11" s="536">
        <v>43</v>
      </c>
      <c r="D11" s="537">
        <v>43</v>
      </c>
      <c r="E11" s="538">
        <v>0</v>
      </c>
      <c r="F11" s="538">
        <v>0</v>
      </c>
      <c r="G11" s="539">
        <v>0</v>
      </c>
      <c r="H11" s="540" t="s">
        <v>1541</v>
      </c>
      <c r="I11" s="541" t="s">
        <v>1343</v>
      </c>
    </row>
    <row r="12" spans="1:10" ht="39.75" customHeight="1">
      <c r="A12" s="576" t="s">
        <v>1368</v>
      </c>
      <c r="B12" s="577" t="s">
        <v>1542</v>
      </c>
      <c r="C12" s="578">
        <v>20</v>
      </c>
      <c r="D12" s="579">
        <v>20</v>
      </c>
      <c r="E12" s="580">
        <v>0</v>
      </c>
      <c r="F12" s="580">
        <v>0</v>
      </c>
      <c r="G12" s="581">
        <v>0</v>
      </c>
      <c r="H12" s="582" t="s">
        <v>1543</v>
      </c>
      <c r="I12" s="583" t="s">
        <v>1241</v>
      </c>
    </row>
    <row r="13" spans="1:10" ht="39.75" customHeight="1">
      <c r="A13" s="613" t="s">
        <v>1385</v>
      </c>
      <c r="B13" s="614" t="s">
        <v>1544</v>
      </c>
      <c r="C13" s="616">
        <v>30</v>
      </c>
      <c r="D13" s="617">
        <v>30</v>
      </c>
      <c r="E13" s="619">
        <v>0</v>
      </c>
      <c r="F13" s="580">
        <v>0</v>
      </c>
      <c r="G13" s="620">
        <v>0</v>
      </c>
      <c r="H13" s="582" t="s">
        <v>1497</v>
      </c>
      <c r="I13" s="371" t="s">
        <v>1388</v>
      </c>
      <c r="J13" s="589" t="s">
        <v>1386</v>
      </c>
    </row>
    <row r="14" spans="1:10" ht="39.75" customHeight="1" thickBot="1">
      <c r="A14" s="584" t="s">
        <v>1498</v>
      </c>
      <c r="B14" s="615" t="s">
        <v>1545</v>
      </c>
      <c r="C14" s="585">
        <v>30</v>
      </c>
      <c r="D14" s="618">
        <v>30</v>
      </c>
      <c r="E14" s="586">
        <v>0</v>
      </c>
      <c r="F14" s="611">
        <v>0</v>
      </c>
      <c r="G14" s="612">
        <v>0</v>
      </c>
      <c r="H14" s="621" t="s">
        <v>1546</v>
      </c>
      <c r="I14" s="588" t="s">
        <v>1558</v>
      </c>
      <c r="J14" s="589" t="s">
        <v>1499</v>
      </c>
    </row>
    <row r="15" spans="1:10" ht="39.75" customHeight="1" thickBot="1">
      <c r="A15" s="527" t="s">
        <v>1547</v>
      </c>
      <c r="B15" s="528" t="s">
        <v>1559</v>
      </c>
      <c r="C15" s="529">
        <v>16</v>
      </c>
      <c r="D15" s="530">
        <v>15</v>
      </c>
      <c r="E15" s="531">
        <v>0</v>
      </c>
      <c r="F15" s="531">
        <v>0</v>
      </c>
      <c r="G15" s="532">
        <v>0</v>
      </c>
      <c r="H15" s="587" t="s">
        <v>1556</v>
      </c>
      <c r="I15" s="533" t="s">
        <v>1557</v>
      </c>
      <c r="J15" s="589"/>
    </row>
    <row r="16" spans="1:10" ht="20.100000000000001" customHeight="1">
      <c r="A16" s="366" t="s">
        <v>1349</v>
      </c>
      <c r="B16" s="361"/>
      <c r="C16" s="362"/>
      <c r="D16" s="362"/>
      <c r="E16" s="362"/>
      <c r="F16" s="362"/>
      <c r="G16" s="362"/>
      <c r="H16" s="361"/>
      <c r="I16" s="363"/>
      <c r="J16" s="347" t="s">
        <v>1389</v>
      </c>
    </row>
    <row r="17" spans="1:9" ht="20.100000000000001" hidden="1" customHeight="1">
      <c r="A17" s="347" t="s">
        <v>1226</v>
      </c>
      <c r="B17" s="365"/>
      <c r="C17" s="364"/>
      <c r="D17" s="364"/>
      <c r="E17" s="364"/>
      <c r="F17" s="364"/>
      <c r="G17" s="364"/>
      <c r="H17" s="364"/>
      <c r="I17" s="364"/>
    </row>
    <row r="18" spans="1:9" ht="20.100000000000001" customHeight="1">
      <c r="A18" s="347" t="s">
        <v>1227</v>
      </c>
      <c r="B18" s="365"/>
      <c r="C18" s="364"/>
      <c r="D18" s="364"/>
      <c r="E18" s="367" t="s">
        <v>1519</v>
      </c>
      <c r="F18" s="364"/>
      <c r="G18" s="364"/>
      <c r="H18" s="364"/>
      <c r="I18" s="364"/>
    </row>
    <row r="19" spans="1:9" ht="20.100000000000001" customHeight="1">
      <c r="A19" s="347" t="s">
        <v>1228</v>
      </c>
      <c r="B19" s="365"/>
      <c r="C19" s="364"/>
      <c r="D19" s="364"/>
      <c r="E19" s="367" t="s">
        <v>1520</v>
      </c>
      <c r="F19" s="364"/>
      <c r="G19" s="364"/>
      <c r="H19" s="364"/>
      <c r="I19" s="364"/>
    </row>
    <row r="20" spans="1:9" ht="20.100000000000001" customHeight="1">
      <c r="A20" s="347" t="s">
        <v>1229</v>
      </c>
      <c r="B20" s="365"/>
      <c r="C20" s="364"/>
      <c r="D20" s="364"/>
      <c r="E20" s="367" t="s">
        <v>1521</v>
      </c>
      <c r="F20" s="364"/>
      <c r="G20" s="364"/>
      <c r="H20" s="364"/>
      <c r="I20" s="364"/>
    </row>
    <row r="21" spans="1:9" ht="20.100000000000001" customHeight="1">
      <c r="A21" s="347" t="s">
        <v>1230</v>
      </c>
      <c r="B21" s="365"/>
      <c r="C21" s="364"/>
      <c r="D21" s="364"/>
      <c r="E21" s="367" t="s">
        <v>1522</v>
      </c>
      <c r="F21" s="364"/>
      <c r="G21" s="364"/>
      <c r="H21" s="364"/>
      <c r="I21" s="364"/>
    </row>
    <row r="22" spans="1:9" ht="20.100000000000001" customHeight="1">
      <c r="A22" s="347" t="s">
        <v>1231</v>
      </c>
      <c r="B22" s="365"/>
      <c r="C22" s="364"/>
      <c r="D22" s="364"/>
      <c r="E22" s="367" t="s">
        <v>1523</v>
      </c>
      <c r="F22" s="364"/>
      <c r="G22" s="364"/>
      <c r="H22" s="364"/>
      <c r="I22" s="364"/>
    </row>
    <row r="23" spans="1:9" ht="20.100000000000001" customHeight="1">
      <c r="A23" s="347" t="s">
        <v>1233</v>
      </c>
      <c r="B23" s="365"/>
      <c r="C23" s="364"/>
      <c r="D23" s="364"/>
      <c r="E23" s="364"/>
      <c r="F23" s="364"/>
      <c r="G23" s="364"/>
      <c r="H23" s="364"/>
      <c r="I23" s="364"/>
    </row>
    <row r="24" spans="1:9" ht="20.100000000000001" customHeight="1">
      <c r="B24" s="365"/>
      <c r="C24" s="364"/>
      <c r="D24" s="364"/>
      <c r="E24" s="364"/>
      <c r="F24" s="364"/>
      <c r="G24" s="364"/>
      <c r="H24" s="364"/>
      <c r="I24" s="364"/>
    </row>
    <row r="25" spans="1:9" ht="20.100000000000001" customHeight="1">
      <c r="B25" s="365"/>
      <c r="C25" s="364"/>
      <c r="D25" s="364"/>
      <c r="E25" s="364"/>
      <c r="F25" s="364"/>
      <c r="G25" s="364"/>
      <c r="H25" s="364"/>
      <c r="I25" s="364"/>
    </row>
    <row r="26" spans="1:9" ht="20.100000000000001" customHeight="1">
      <c r="B26" s="365"/>
      <c r="C26" s="364"/>
      <c r="D26" s="364"/>
    </row>
    <row r="27" spans="1:9" ht="20.100000000000001" customHeight="1">
      <c r="B27" s="365"/>
      <c r="C27" s="364"/>
      <c r="D27" s="364"/>
    </row>
    <row r="28" spans="1:9" ht="19.5" customHeight="1"/>
  </sheetData>
  <mergeCells count="7">
    <mergeCell ref="A1:I1"/>
    <mergeCell ref="A2:A3"/>
    <mergeCell ref="B2:B3"/>
    <mergeCell ref="C2:C3"/>
    <mergeCell ref="D2:G2"/>
    <mergeCell ref="H2:H3"/>
    <mergeCell ref="I2:I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5"/>
  <sheetViews>
    <sheetView showGridLines="0" view="pageBreakPreview" zoomScale="145" zoomScaleNormal="100" zoomScaleSheetLayoutView="145" workbookViewId="0">
      <selection activeCell="F24" sqref="F1:F1048576"/>
    </sheetView>
  </sheetViews>
  <sheetFormatPr defaultRowHeight="13.5"/>
  <sheetData>
    <row r="1" spans="1:4" ht="17.25">
      <c r="A1" s="254" t="s">
        <v>1517</v>
      </c>
      <c r="B1" s="255"/>
      <c r="C1" s="255"/>
      <c r="D1" s="256"/>
    </row>
    <row r="28" spans="1:10" s="257" customFormat="1" ht="14.25">
      <c r="A28" s="706" t="s">
        <v>1245</v>
      </c>
      <c r="B28" s="706"/>
      <c r="C28" s="706"/>
      <c r="D28" s="706"/>
      <c r="E28" s="706"/>
      <c r="F28" s="706" t="s">
        <v>1246</v>
      </c>
      <c r="G28" s="706"/>
      <c r="H28" s="706"/>
      <c r="I28" s="706"/>
      <c r="J28" s="706"/>
    </row>
    <row r="29" spans="1:10" s="259" customFormat="1" ht="14.25">
      <c r="C29" s="258"/>
      <c r="G29" s="258"/>
    </row>
    <row r="55" spans="1:10" s="257" customFormat="1" ht="14.25">
      <c r="A55" s="706" t="s">
        <v>1247</v>
      </c>
      <c r="B55" s="706"/>
      <c r="C55" s="706"/>
      <c r="D55" s="706"/>
      <c r="E55" s="706"/>
      <c r="F55" s="706" t="s">
        <v>1248</v>
      </c>
      <c r="G55" s="706"/>
      <c r="H55" s="706"/>
      <c r="I55" s="706"/>
      <c r="J55" s="706"/>
    </row>
  </sheetData>
  <mergeCells count="4">
    <mergeCell ref="A28:E28"/>
    <mergeCell ref="F28:J28"/>
    <mergeCell ref="A55:E55"/>
    <mergeCell ref="F55:J55"/>
  </mergeCells>
  <phoneticPr fontId="1"/>
  <printOptions horizontalCentered="1"/>
  <pageMargins left="0.78740157480314965" right="0.39370078740157483" top="0.78740157480314965" bottom="0.39370078740157483" header="0.51181102362204722" footer="0.39370078740157483"/>
  <pageSetup paperSize="9" orientation="portrait" r:id="rId1"/>
  <headerFooter alignWithMargins="0">
    <oddFooter xml:space="preserve">&amp;C&amp;"Times New Roman,標準"&amp;12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"/>
  <sheetViews>
    <sheetView workbookViewId="0">
      <selection activeCell="F24" sqref="F1:F1048576"/>
    </sheetView>
  </sheetViews>
  <sheetFormatPr defaultRowHeight="13.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58"/>
  <sheetViews>
    <sheetView showGridLines="0" view="pageBreakPreview" zoomScale="55" zoomScaleNormal="85" zoomScaleSheetLayoutView="55" workbookViewId="0">
      <pane xSplit="10" ySplit="4" topLeftCell="K5" activePane="bottomRight" state="frozen"/>
      <selection activeCell="F24" sqref="F1:F1048576"/>
      <selection pane="topRight" activeCell="F24" sqref="F1:F1048576"/>
      <selection pane="bottomLeft" activeCell="F24" sqref="F1:F1048576"/>
      <selection pane="bottomRight" activeCell="F24" sqref="F1:F1048576"/>
    </sheetView>
  </sheetViews>
  <sheetFormatPr defaultRowHeight="14.25"/>
  <cols>
    <col min="1" max="1" width="5.625" style="101" customWidth="1"/>
    <col min="2" max="2" width="9.25" style="100" customWidth="1"/>
    <col min="3" max="3" width="5.625" style="101" customWidth="1"/>
    <col min="4" max="5" width="25.625" style="102" customWidth="1"/>
    <col min="6" max="7" width="5.625" style="101" customWidth="1"/>
    <col min="8" max="8" width="0.375" style="101" customWidth="1"/>
    <col min="9" max="10" width="10.625" style="101" customWidth="1"/>
    <col min="11" max="28" width="8.125" style="102" customWidth="1"/>
    <col min="29" max="34" width="8.125" style="103" customWidth="1"/>
    <col min="35" max="40" width="8.125" style="102" customWidth="1"/>
    <col min="41" max="46" width="8.125" style="103" customWidth="1"/>
    <col min="47" max="61" width="8.125" style="104" customWidth="1"/>
    <col min="62" max="63" width="11.375" style="104" customWidth="1"/>
    <col min="64" max="64" width="5.625" style="330" customWidth="1"/>
    <col min="65" max="65" width="10.625" style="345" customWidth="1"/>
    <col min="66" max="66" width="20.625" style="103" customWidth="1"/>
    <col min="67" max="67" width="11.25" style="102" customWidth="1"/>
    <col min="68" max="16384" width="9" style="102"/>
  </cols>
  <sheetData>
    <row r="1" spans="1:70" ht="28.5">
      <c r="A1" s="105" t="s">
        <v>1496</v>
      </c>
      <c r="D1" s="99"/>
      <c r="BM1" s="337"/>
      <c r="BN1" s="97" t="s">
        <v>1250</v>
      </c>
    </row>
    <row r="2" spans="1:70" s="325" customFormat="1" ht="12" customHeight="1">
      <c r="B2" s="326"/>
      <c r="AC2" s="327"/>
      <c r="AD2" s="327"/>
      <c r="AE2" s="327"/>
      <c r="AF2" s="327"/>
      <c r="AG2" s="327"/>
      <c r="AH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31"/>
      <c r="BM2" s="338"/>
      <c r="BN2" s="328"/>
    </row>
    <row r="3" spans="1:70" s="98" customFormat="1" ht="15.95" customHeight="1">
      <c r="A3" s="707" t="s">
        <v>607</v>
      </c>
      <c r="B3" s="717" t="s">
        <v>521</v>
      </c>
      <c r="C3" s="711" t="s">
        <v>635</v>
      </c>
      <c r="D3" s="707" t="s">
        <v>606</v>
      </c>
      <c r="E3" s="718" t="s">
        <v>608</v>
      </c>
      <c r="F3" s="709" t="s">
        <v>2</v>
      </c>
      <c r="G3" s="707" t="s">
        <v>3</v>
      </c>
      <c r="H3" s="707" t="s">
        <v>4</v>
      </c>
      <c r="I3" s="707" t="s">
        <v>5</v>
      </c>
      <c r="J3" s="707" t="s">
        <v>262</v>
      </c>
      <c r="K3" s="388" t="s">
        <v>19</v>
      </c>
      <c r="L3" s="388" t="s">
        <v>609</v>
      </c>
      <c r="M3" s="388" t="s">
        <v>10</v>
      </c>
      <c r="N3" s="388" t="s">
        <v>73</v>
      </c>
      <c r="O3" s="388" t="s">
        <v>223</v>
      </c>
      <c r="P3" s="388" t="s">
        <v>31</v>
      </c>
      <c r="Q3" s="388" t="s">
        <v>127</v>
      </c>
      <c r="R3" s="388" t="s">
        <v>610</v>
      </c>
      <c r="S3" s="388" t="s">
        <v>611</v>
      </c>
      <c r="T3" s="388" t="s">
        <v>612</v>
      </c>
      <c r="U3" s="388" t="s">
        <v>613</v>
      </c>
      <c r="V3" s="388" t="s">
        <v>614</v>
      </c>
      <c r="W3" s="388" t="s">
        <v>615</v>
      </c>
      <c r="X3" s="388" t="s">
        <v>616</v>
      </c>
      <c r="Y3" s="388" t="s">
        <v>617</v>
      </c>
      <c r="Z3" s="388" t="s">
        <v>618</v>
      </c>
      <c r="AA3" s="388" t="s">
        <v>1255</v>
      </c>
      <c r="AB3" s="388" t="s">
        <v>619</v>
      </c>
      <c r="AC3" s="388" t="s">
        <v>620</v>
      </c>
      <c r="AD3" s="388" t="s">
        <v>621</v>
      </c>
      <c r="AE3" s="388" t="s">
        <v>622</v>
      </c>
      <c r="AF3" s="388" t="s">
        <v>36</v>
      </c>
      <c r="AG3" s="388" t="s">
        <v>623</v>
      </c>
      <c r="AH3" s="382" t="s">
        <v>545</v>
      </c>
      <c r="AI3" s="388" t="s">
        <v>255</v>
      </c>
      <c r="AJ3" s="380" t="s">
        <v>624</v>
      </c>
      <c r="AK3" s="380" t="s">
        <v>625</v>
      </c>
      <c r="AL3" s="380" t="s">
        <v>626</v>
      </c>
      <c r="AM3" s="380" t="s">
        <v>627</v>
      </c>
      <c r="AN3" s="380" t="s">
        <v>543</v>
      </c>
      <c r="AO3" s="380" t="s">
        <v>628</v>
      </c>
      <c r="AP3" s="380" t="s">
        <v>555</v>
      </c>
      <c r="AQ3" s="380" t="s">
        <v>343</v>
      </c>
      <c r="AR3" s="380" t="s">
        <v>345</v>
      </c>
      <c r="AS3" s="380" t="s">
        <v>629</v>
      </c>
      <c r="AT3" s="380" t="s">
        <v>554</v>
      </c>
      <c r="AU3" s="380" t="s">
        <v>630</v>
      </c>
      <c r="AV3" s="380" t="s">
        <v>556</v>
      </c>
      <c r="AW3" s="380" t="s">
        <v>550</v>
      </c>
      <c r="AX3" s="380" t="s">
        <v>552</v>
      </c>
      <c r="AY3" s="380" t="s">
        <v>553</v>
      </c>
      <c r="AZ3" s="380" t="s">
        <v>551</v>
      </c>
      <c r="BA3" s="380" t="s">
        <v>548</v>
      </c>
      <c r="BB3" s="380" t="s">
        <v>549</v>
      </c>
      <c r="BC3" s="382" t="s">
        <v>535</v>
      </c>
      <c r="BD3" s="382" t="s">
        <v>536</v>
      </c>
      <c r="BE3" s="607" t="s">
        <v>1284</v>
      </c>
      <c r="BF3" s="609" t="s">
        <v>1294</v>
      </c>
      <c r="BG3" s="609" t="s">
        <v>1293</v>
      </c>
      <c r="BH3" s="607" t="s">
        <v>1512</v>
      </c>
      <c r="BI3" s="629" t="s">
        <v>1511</v>
      </c>
      <c r="BJ3" s="715" t="s">
        <v>1321</v>
      </c>
      <c r="BK3" s="716"/>
      <c r="BL3" s="713" t="s">
        <v>632</v>
      </c>
      <c r="BM3" s="714"/>
      <c r="BN3" s="711" t="s">
        <v>605</v>
      </c>
    </row>
    <row r="4" spans="1:70" s="96" customFormat="1" ht="15.95" customHeight="1">
      <c r="A4" s="708"/>
      <c r="B4" s="717"/>
      <c r="C4" s="712"/>
      <c r="D4" s="708"/>
      <c r="E4" s="719"/>
      <c r="F4" s="710"/>
      <c r="G4" s="708"/>
      <c r="H4" s="708"/>
      <c r="I4" s="708"/>
      <c r="J4" s="708"/>
      <c r="K4" s="120">
        <v>1973</v>
      </c>
      <c r="L4" s="389">
        <v>1974</v>
      </c>
      <c r="M4" s="120">
        <v>1975</v>
      </c>
      <c r="N4" s="389">
        <v>1976</v>
      </c>
      <c r="O4" s="120">
        <v>1977</v>
      </c>
      <c r="P4" s="389">
        <v>1978</v>
      </c>
      <c r="Q4" s="120">
        <v>1979</v>
      </c>
      <c r="R4" s="389">
        <v>1980</v>
      </c>
      <c r="S4" s="120">
        <v>1981</v>
      </c>
      <c r="T4" s="389">
        <v>1982</v>
      </c>
      <c r="U4" s="120">
        <v>1983</v>
      </c>
      <c r="V4" s="389">
        <v>1984</v>
      </c>
      <c r="W4" s="120">
        <v>1985</v>
      </c>
      <c r="X4" s="389">
        <v>1986</v>
      </c>
      <c r="Y4" s="120">
        <v>1987</v>
      </c>
      <c r="Z4" s="389">
        <v>1988</v>
      </c>
      <c r="AA4" s="120">
        <v>1989</v>
      </c>
      <c r="AB4" s="389">
        <v>1990</v>
      </c>
      <c r="AC4" s="120">
        <v>1991</v>
      </c>
      <c r="AD4" s="389">
        <v>1992</v>
      </c>
      <c r="AE4" s="120">
        <v>1993</v>
      </c>
      <c r="AF4" s="389">
        <v>1994</v>
      </c>
      <c r="AG4" s="120">
        <v>1995</v>
      </c>
      <c r="AH4" s="120">
        <v>1996</v>
      </c>
      <c r="AI4" s="120">
        <v>1997</v>
      </c>
      <c r="AJ4" s="381">
        <v>1998</v>
      </c>
      <c r="AK4" s="120">
        <v>1999</v>
      </c>
      <c r="AL4" s="381">
        <v>2000</v>
      </c>
      <c r="AM4" s="120">
        <v>2001</v>
      </c>
      <c r="AN4" s="381">
        <v>2002</v>
      </c>
      <c r="AO4" s="120">
        <v>2003</v>
      </c>
      <c r="AP4" s="381">
        <v>2004</v>
      </c>
      <c r="AQ4" s="120">
        <v>2005</v>
      </c>
      <c r="AR4" s="381">
        <v>2006</v>
      </c>
      <c r="AS4" s="120">
        <v>2007</v>
      </c>
      <c r="AT4" s="381">
        <v>2008</v>
      </c>
      <c r="AU4" s="120">
        <v>2009</v>
      </c>
      <c r="AV4" s="381">
        <v>2010</v>
      </c>
      <c r="AW4" s="120">
        <v>2011</v>
      </c>
      <c r="AX4" s="381">
        <v>2012</v>
      </c>
      <c r="AY4" s="120">
        <v>2013</v>
      </c>
      <c r="AZ4" s="381">
        <v>2014</v>
      </c>
      <c r="BA4" s="120">
        <v>2015</v>
      </c>
      <c r="BB4" s="381">
        <v>2016</v>
      </c>
      <c r="BC4" s="120">
        <v>2017</v>
      </c>
      <c r="BD4" s="120">
        <v>2018</v>
      </c>
      <c r="BE4" s="608">
        <v>2019</v>
      </c>
      <c r="BF4" s="610">
        <v>2020</v>
      </c>
      <c r="BG4" s="610">
        <v>2021</v>
      </c>
      <c r="BH4" s="608">
        <v>2021</v>
      </c>
      <c r="BI4" s="630">
        <v>2024</v>
      </c>
      <c r="BJ4" s="454" t="s">
        <v>1513</v>
      </c>
      <c r="BK4" s="455" t="s">
        <v>1320</v>
      </c>
      <c r="BL4" s="332" t="s">
        <v>634</v>
      </c>
      <c r="BM4" s="339" t="s">
        <v>631</v>
      </c>
      <c r="BN4" s="712"/>
    </row>
    <row r="5" spans="1:70" ht="15.95" customHeight="1">
      <c r="A5" s="118">
        <v>101</v>
      </c>
      <c r="B5" s="107" t="s">
        <v>1184</v>
      </c>
      <c r="C5" s="114" t="s">
        <v>6</v>
      </c>
      <c r="D5" s="110" t="s">
        <v>7</v>
      </c>
      <c r="E5" s="109" t="s">
        <v>8</v>
      </c>
      <c r="F5" s="106" t="s">
        <v>9</v>
      </c>
      <c r="G5" s="108" t="s">
        <v>10</v>
      </c>
      <c r="H5" s="108" t="s">
        <v>541</v>
      </c>
      <c r="I5" s="108" t="s">
        <v>11</v>
      </c>
      <c r="J5" s="108" t="s">
        <v>263</v>
      </c>
      <c r="K5" s="224"/>
      <c r="L5" s="228"/>
      <c r="M5" s="221"/>
      <c r="N5" s="124">
        <v>1.3</v>
      </c>
      <c r="O5" s="124">
        <v>-4.7</v>
      </c>
      <c r="P5" s="124">
        <v>15</v>
      </c>
      <c r="Q5" s="124">
        <v>6.6</v>
      </c>
      <c r="R5" s="124">
        <v>2.5</v>
      </c>
      <c r="S5" s="124">
        <v>-1.9</v>
      </c>
      <c r="T5" s="124">
        <v>4.0999999999999996</v>
      </c>
      <c r="U5" s="124">
        <v>1.9</v>
      </c>
      <c r="V5" s="124">
        <v>2.5</v>
      </c>
      <c r="W5" s="124">
        <v>13.1</v>
      </c>
      <c r="X5" s="124">
        <v>-2.5</v>
      </c>
      <c r="Y5" s="124">
        <v>-9.5</v>
      </c>
      <c r="Z5" s="136" t="s">
        <v>1273</v>
      </c>
      <c r="AA5" s="122"/>
      <c r="AB5" s="127">
        <v>15.3</v>
      </c>
      <c r="AC5" s="124">
        <v>8.5</v>
      </c>
      <c r="AD5" s="124">
        <v>0</v>
      </c>
      <c r="AE5" s="124">
        <v>-1.9</v>
      </c>
      <c r="AF5" s="124">
        <v>6.3</v>
      </c>
      <c r="AG5" s="124">
        <v>4.8</v>
      </c>
      <c r="AH5" s="123">
        <v>-5.7</v>
      </c>
      <c r="AI5" s="125">
        <v>10.4</v>
      </c>
      <c r="AJ5" s="123">
        <v>-1.4</v>
      </c>
      <c r="AK5" s="123">
        <v>-2.1</v>
      </c>
      <c r="AL5" s="123">
        <v>6.1</v>
      </c>
      <c r="AM5" s="124">
        <v>1.0999999999974399</v>
      </c>
      <c r="AN5" s="123">
        <v>-6.5</v>
      </c>
      <c r="AO5" s="125">
        <v>9.6999999999999993</v>
      </c>
      <c r="AP5" s="126">
        <v>6.1</v>
      </c>
      <c r="AQ5" s="139" t="s">
        <v>1068</v>
      </c>
      <c r="AR5" s="122"/>
      <c r="AS5" s="121">
        <v>6.4</v>
      </c>
      <c r="AT5" s="122">
        <v>3.3</v>
      </c>
      <c r="AU5" s="125">
        <v>-1.9</v>
      </c>
      <c r="AV5" s="125">
        <v>2</v>
      </c>
      <c r="AW5" s="139" t="s">
        <v>1068</v>
      </c>
      <c r="AX5" s="122"/>
      <c r="AY5" s="122">
        <v>2</v>
      </c>
      <c r="AZ5" s="139" t="s">
        <v>1069</v>
      </c>
      <c r="BA5" s="122">
        <v>0.4</v>
      </c>
      <c r="BB5" s="139" t="s">
        <v>1068</v>
      </c>
      <c r="BC5" s="122"/>
      <c r="BD5" s="122">
        <f ca="1">INDIRECT(ADDRESS(MATCH($B5,'【別紙1】標高（入力）'!$B:$B,0),'【別紙1】標高（入力）'!AD$2,4,TRUE,"【別紙1】標高（入力）"))</f>
        <v>1.200000000000756</v>
      </c>
      <c r="BE5" s="139" t="s">
        <v>1333</v>
      </c>
      <c r="BF5" s="121">
        <f ca="1">INDIRECT(ADDRESS(MATCH($B5,'【別紙1】標高（入力）'!$B:$B,0),'【別紙1】標高（入力）'!AF$2,4,TRUE,"【別紙1】標高（入力）"))</f>
        <v>3.0999999999998806</v>
      </c>
      <c r="BG5" s="633" t="s">
        <v>1514</v>
      </c>
      <c r="BH5" s="632" t="s">
        <v>247</v>
      </c>
      <c r="BI5" s="569">
        <f ca="1">INDIRECT(ADDRESS(MATCH($B5,'【別紙1】標高（入力）'!$B:$B,0),'【別紙1】標高（入力）'!AI$2,4,TRUE,"【別紙1】標高（入力）"))</f>
        <v>2.500000000001279</v>
      </c>
      <c r="BJ5" s="598" t="str">
        <f ca="1">IF(AND(ISNUMBER(BI5)*1,ISNUMBER(BH5)*1),BI5,"-")</f>
        <v>-</v>
      </c>
      <c r="BK5" s="604">
        <f ca="1">SUM(K5:BI5)</f>
        <v>98.099999999999341</v>
      </c>
      <c r="BL5" s="600" t="str">
        <f ca="1">INDIRECT(ADDRESS(MATCH($B5,'【別紙1】標高（入力）'!$B:$B,0),'【別紙1】標高（入力）'!$N$2,4,TRUE,"【別紙1】標高（入力）"))</f>
        <v>R5</v>
      </c>
      <c r="BM5" s="340">
        <f ca="1">INDIRECT(ADDRESS(MATCH($B5,'【別紙1】標高（入力）'!$B:$B,0),'【別紙1】標高（入力）'!$O$2,4,TRUE,"【別紙1】標高（入力）"))</f>
        <v>16.055299999999999</v>
      </c>
      <c r="BN5" s="392"/>
    </row>
    <row r="6" spans="1:70" ht="15.95" customHeight="1">
      <c r="A6" s="119">
        <v>102</v>
      </c>
      <c r="B6" s="591">
        <v>8561</v>
      </c>
      <c r="C6" s="114" t="s">
        <v>6</v>
      </c>
      <c r="D6" s="110" t="s">
        <v>693</v>
      </c>
      <c r="E6" s="597" t="s">
        <v>1400</v>
      </c>
      <c r="F6" s="111" t="s">
        <v>12</v>
      </c>
      <c r="G6" s="112" t="s">
        <v>10</v>
      </c>
      <c r="H6" s="112" t="s">
        <v>541</v>
      </c>
      <c r="I6" s="112" t="s">
        <v>11</v>
      </c>
      <c r="J6" s="112" t="s">
        <v>263</v>
      </c>
      <c r="K6" s="224"/>
      <c r="L6" s="228"/>
      <c r="M6" s="221"/>
      <c r="N6" s="124">
        <v>-4.2</v>
      </c>
      <c r="O6" s="124">
        <v>-2.6</v>
      </c>
      <c r="P6" s="124">
        <v>12.1</v>
      </c>
      <c r="Q6" s="124">
        <v>6.1</v>
      </c>
      <c r="R6" s="124">
        <v>1.6</v>
      </c>
      <c r="S6" s="124">
        <v>-2.9</v>
      </c>
      <c r="T6" s="124">
        <v>3.2</v>
      </c>
      <c r="U6" s="124">
        <v>0.5</v>
      </c>
      <c r="V6" s="124">
        <v>1.5</v>
      </c>
      <c r="W6" s="124">
        <v>13.5</v>
      </c>
      <c r="X6" s="124">
        <v>-4.0999999999999996</v>
      </c>
      <c r="Y6" s="124">
        <v>-10.7</v>
      </c>
      <c r="Z6" s="124">
        <v>7.9</v>
      </c>
      <c r="AA6" s="124">
        <v>5.6</v>
      </c>
      <c r="AB6" s="124">
        <v>-1.7</v>
      </c>
      <c r="AC6" s="124">
        <v>6</v>
      </c>
      <c r="AD6" s="124">
        <v>-1.1000000000000001</v>
      </c>
      <c r="AE6" s="124">
        <v>-3.3</v>
      </c>
      <c r="AF6" s="124">
        <v>5.7</v>
      </c>
      <c r="AG6" s="124">
        <v>4.5</v>
      </c>
      <c r="AH6" s="123">
        <v>-5.7</v>
      </c>
      <c r="AI6" s="125">
        <v>9.1999999999999993</v>
      </c>
      <c r="AJ6" s="122">
        <v>-0.9</v>
      </c>
      <c r="AK6" s="122">
        <v>-2.9</v>
      </c>
      <c r="AL6" s="122">
        <v>6</v>
      </c>
      <c r="AM6" s="122">
        <v>1.10000000000099</v>
      </c>
      <c r="AN6" s="138" t="s">
        <v>256</v>
      </c>
      <c r="AO6" s="125">
        <v>9.4</v>
      </c>
      <c r="AP6" s="138" t="s">
        <v>260</v>
      </c>
      <c r="AQ6" s="139" t="s">
        <v>1068</v>
      </c>
      <c r="AR6" s="122"/>
      <c r="AS6" s="121">
        <v>0.2</v>
      </c>
      <c r="AT6" s="122">
        <v>3.1</v>
      </c>
      <c r="AU6" s="125">
        <v>-4.5999999999999996</v>
      </c>
      <c r="AV6" s="125">
        <v>1.4</v>
      </c>
      <c r="AW6" s="139" t="s">
        <v>1068</v>
      </c>
      <c r="AX6" s="122"/>
      <c r="AY6" s="122">
        <v>1.1000000000000001</v>
      </c>
      <c r="AZ6" s="139" t="s">
        <v>1069</v>
      </c>
      <c r="BA6" s="122">
        <v>-1.1000000000000001</v>
      </c>
      <c r="BB6" s="139" t="s">
        <v>1068</v>
      </c>
      <c r="BC6" s="122"/>
      <c r="BD6" s="122">
        <f ca="1">INDIRECT(ADDRESS(MATCH($B6,'【別紙1】標高（入力）'!$B:$B,0),'【別紙1】標高（入力）'!AD$2,4,TRUE,"【別紙1】標高（入力）"))</f>
        <v>0</v>
      </c>
      <c r="BE6" s="139" t="s">
        <v>1333</v>
      </c>
      <c r="BF6" s="121">
        <f ca="1">INDIRECT(ADDRESS(MATCH($B6,'【別紙1】標高（入力）'!$B:$B,0),'【別紙1】標高（入力）'!AF$2,4,TRUE,"【別紙1】標高（入力）"))</f>
        <v>3.0999999999998806</v>
      </c>
      <c r="BG6" s="633" t="s">
        <v>1514</v>
      </c>
      <c r="BH6" s="632" t="s">
        <v>247</v>
      </c>
      <c r="BI6" s="569">
        <f ca="1">INDIRECT(ADDRESS(MATCH($B6,'【別紙1】標高（入力）'!$B:$B,0),'【別紙1】標高（入力）'!AI$2,4,TRUE,"【別紙1】標高（入力）"))</f>
        <v>-0.19999999999953388</v>
      </c>
      <c r="BJ6" s="598" t="str">
        <f ca="1">IF(AND(ISNUMBER(BI6)*1,ISNUMBER(BH6)*1),BI6,"-")</f>
        <v>-</v>
      </c>
      <c r="BK6" s="604">
        <f ca="1">SUM(K6:BI6)</f>
        <v>56.80000000000134</v>
      </c>
      <c r="BL6" s="600" t="str">
        <f ca="1">INDIRECT(ADDRESS(MATCH($B6,'【別紙1】標高（入力）'!$B:$B,0),'【別紙1】標高（入力）'!$N$2,4,TRUE,"【別紙1】標高（入力）"))</f>
        <v>R5</v>
      </c>
      <c r="BM6" s="340">
        <f ca="1">INDIRECT(ADDRESS(MATCH($B6,'【別紙1】標高（入力）'!$B:$B,0),'【別紙1】標高（入力）'!$O$2,4,TRUE,"【別紙1】標高（入力）"))</f>
        <v>17.855399999999999</v>
      </c>
      <c r="BN6" s="392"/>
    </row>
    <row r="7" spans="1:70" ht="15.95" customHeight="1">
      <c r="A7" s="119">
        <v>103</v>
      </c>
      <c r="B7" s="107" t="s">
        <v>676</v>
      </c>
      <c r="C7" s="114" t="s">
        <v>6</v>
      </c>
      <c r="D7" s="110" t="s">
        <v>677</v>
      </c>
      <c r="E7" s="109" t="s">
        <v>14</v>
      </c>
      <c r="F7" s="111" t="s">
        <v>9</v>
      </c>
      <c r="G7" s="112" t="s">
        <v>10</v>
      </c>
      <c r="H7" s="112" t="s">
        <v>541</v>
      </c>
      <c r="I7" s="112" t="s">
        <v>11</v>
      </c>
      <c r="J7" s="112" t="s">
        <v>263</v>
      </c>
      <c r="K7" s="224"/>
      <c r="L7" s="228"/>
      <c r="M7" s="221"/>
      <c r="N7" s="124">
        <v>0</v>
      </c>
      <c r="O7" s="124">
        <v>4</v>
      </c>
      <c r="P7" s="124">
        <v>16.3</v>
      </c>
      <c r="Q7" s="124">
        <v>8.1999999999999993</v>
      </c>
      <c r="R7" s="124">
        <v>5.4</v>
      </c>
      <c r="S7" s="124">
        <v>1.6</v>
      </c>
      <c r="T7" s="124">
        <v>7.4</v>
      </c>
      <c r="U7" s="124">
        <v>5.5</v>
      </c>
      <c r="V7" s="124">
        <v>6.2</v>
      </c>
      <c r="W7" s="124">
        <v>17.5</v>
      </c>
      <c r="X7" s="124">
        <v>0.6</v>
      </c>
      <c r="Y7" s="124">
        <v>-7.2</v>
      </c>
      <c r="Z7" s="136" t="s">
        <v>1276</v>
      </c>
      <c r="AA7" s="122"/>
      <c r="AB7" s="122"/>
      <c r="AC7" s="122"/>
      <c r="AD7" s="122"/>
      <c r="AE7" s="122"/>
      <c r="AF7" s="122"/>
      <c r="AG7" s="122"/>
      <c r="AH7" s="122">
        <v>46.7</v>
      </c>
      <c r="AI7" s="139" t="s">
        <v>695</v>
      </c>
      <c r="AJ7" s="122"/>
      <c r="AK7" s="122"/>
      <c r="AL7" s="122"/>
      <c r="AM7" s="122"/>
      <c r="AN7" s="122"/>
      <c r="AO7" s="121">
        <v>41.8</v>
      </c>
      <c r="AP7" s="126">
        <v>6.5</v>
      </c>
      <c r="AQ7" s="135" t="s">
        <v>1070</v>
      </c>
      <c r="AR7" s="122"/>
      <c r="AS7" s="122"/>
      <c r="AT7" s="122"/>
      <c r="AU7" s="122">
        <v>22.8</v>
      </c>
      <c r="AV7" s="126">
        <v>4.7</v>
      </c>
      <c r="AW7" s="139" t="s">
        <v>1068</v>
      </c>
      <c r="AX7" s="122"/>
      <c r="AY7" s="122">
        <v>10.199999999999999</v>
      </c>
      <c r="AZ7" s="139" t="s">
        <v>1069</v>
      </c>
      <c r="BA7" s="122">
        <v>6.7</v>
      </c>
      <c r="BB7" s="139" t="s">
        <v>1334</v>
      </c>
      <c r="BC7" s="122"/>
      <c r="BD7" s="122">
        <f ca="1">INDIRECT(ADDRESS(MATCH($B7,'【別紙1】標高（入力）'!$B:$B,0),'【別紙1】標高（入力）'!AD$2,4,TRUE,"【別紙1】標高（入力）"))</f>
        <v>10.900000000003018</v>
      </c>
      <c r="BE7" s="139"/>
      <c r="BF7" s="138" t="s">
        <v>1339</v>
      </c>
      <c r="BG7" s="633" t="s">
        <v>1514</v>
      </c>
      <c r="BH7" s="632" t="s">
        <v>247</v>
      </c>
      <c r="BI7" s="569">
        <f ca="1">INDIRECT(ADDRESS(MATCH($B7,'【別紙1】標高（入力）'!$B:$B,0),'【別紙1】標高（入力）'!AI$2,4,TRUE,"【別紙1】標高（入力）"))</f>
        <v>0.49999999999883471</v>
      </c>
      <c r="BJ7" s="598" t="str">
        <f ca="1">IF(AND(ISNUMBER(BI7)*1,ISNUMBER(BH7)*1),BI7,"-")</f>
        <v>-</v>
      </c>
      <c r="BK7" s="604">
        <f ca="1">SUM(K7:BI7)</f>
        <v>216.30000000000183</v>
      </c>
      <c r="BL7" s="600" t="str">
        <f ca="1">INDIRECT(ADDRESS(MATCH($B7,'【別紙1】標高（入力）'!$B:$B,0),'【別紙1】標高（入力）'!$N$2,4,TRUE,"【別紙1】標高（入力）"))</f>
        <v>R5</v>
      </c>
      <c r="BM7" s="340">
        <f ca="1">INDIRECT(ADDRESS(MATCH($B7,'【別紙1】標高（入力）'!$B:$B,0),'【別紙1】標高（入力）'!$O$2,4,TRUE,"【別紙1】標高（入力）"))</f>
        <v>17.549900000000001</v>
      </c>
      <c r="BN7" s="392" t="s">
        <v>1350</v>
      </c>
    </row>
    <row r="8" spans="1:70" s="231" customFormat="1" ht="15.95" customHeight="1">
      <c r="A8" s="214">
        <v>104</v>
      </c>
      <c r="B8" s="215" t="s">
        <v>584</v>
      </c>
      <c r="C8" s="216" t="s">
        <v>6</v>
      </c>
      <c r="D8" s="217" t="s">
        <v>650</v>
      </c>
      <c r="E8" s="218" t="s">
        <v>16</v>
      </c>
      <c r="F8" s="219" t="s">
        <v>9</v>
      </c>
      <c r="G8" s="220" t="s">
        <v>10</v>
      </c>
      <c r="H8" s="220" t="s">
        <v>541</v>
      </c>
      <c r="I8" s="220" t="s">
        <v>11</v>
      </c>
      <c r="J8" s="220" t="s">
        <v>263</v>
      </c>
      <c r="K8" s="224"/>
      <c r="L8" s="228"/>
      <c r="M8" s="221"/>
      <c r="N8" s="222">
        <v>-4.7</v>
      </c>
      <c r="O8" s="222">
        <v>0.9</v>
      </c>
      <c r="P8" s="222">
        <v>9.6</v>
      </c>
      <c r="Q8" s="222">
        <v>4.0999999999999996</v>
      </c>
      <c r="R8" s="222">
        <v>0.3</v>
      </c>
      <c r="S8" s="222">
        <v>-4.0999999999999996</v>
      </c>
      <c r="T8" s="222">
        <v>4</v>
      </c>
      <c r="U8" s="222">
        <v>1.9</v>
      </c>
      <c r="V8" s="222">
        <v>3.9</v>
      </c>
      <c r="W8" s="222">
        <v>16.2</v>
      </c>
      <c r="X8" s="222">
        <v>-2.5</v>
      </c>
      <c r="Y8" s="222">
        <v>-10.1</v>
      </c>
      <c r="Z8" s="222">
        <v>4.5</v>
      </c>
      <c r="AA8" s="222">
        <v>4.5</v>
      </c>
      <c r="AB8" s="222">
        <v>-2.6</v>
      </c>
      <c r="AC8" s="222">
        <v>6.8</v>
      </c>
      <c r="AD8" s="222">
        <v>-2.1</v>
      </c>
      <c r="AE8" s="222">
        <v>-3.7</v>
      </c>
      <c r="AF8" s="222">
        <v>5.0999999999999996</v>
      </c>
      <c r="AG8" s="222">
        <v>5</v>
      </c>
      <c r="AH8" s="224">
        <v>-5.6</v>
      </c>
      <c r="AI8" s="225">
        <v>9.4</v>
      </c>
      <c r="AJ8" s="223">
        <v>-0.7</v>
      </c>
      <c r="AK8" s="223">
        <v>-3.1</v>
      </c>
      <c r="AL8" s="224">
        <v>6.2</v>
      </c>
      <c r="AM8" s="222">
        <v>9.99999999997669E-2</v>
      </c>
      <c r="AN8" s="224">
        <v>-7.6</v>
      </c>
      <c r="AO8" s="225">
        <v>9.1</v>
      </c>
      <c r="AP8" s="226">
        <v>5.3</v>
      </c>
      <c r="AQ8" s="227" t="s">
        <v>1068</v>
      </c>
      <c r="AR8" s="228"/>
      <c r="AS8" s="229">
        <v>1</v>
      </c>
      <c r="AT8" s="228">
        <v>2.6</v>
      </c>
      <c r="AU8" s="225">
        <v>-3.8</v>
      </c>
      <c r="AV8" s="225">
        <v>2.1</v>
      </c>
      <c r="AW8" s="227" t="s">
        <v>1068</v>
      </c>
      <c r="AX8" s="228"/>
      <c r="AY8" s="228">
        <v>2.4</v>
      </c>
      <c r="AZ8" s="226">
        <v>-1.3</v>
      </c>
      <c r="BA8" s="226">
        <v>0.6</v>
      </c>
      <c r="BB8" s="228"/>
      <c r="BC8" s="228"/>
      <c r="BD8" s="228" t="str">
        <f ca="1">INDIRECT(ADDRESS(MATCH($B8,'【別紙1】標高（入力）'!$B:$B,0),'【別紙1】標高（入力）'!AD$2,4,TRUE,"【別紙1】標高（入力）"))</f>
        <v/>
      </c>
      <c r="BE8" s="228" t="str">
        <f ca="1">INDIRECT(ADDRESS(MATCH($B8,'【別紙1】標高（入力）'!$B:$B,0),'【別紙1】標高（入力）'!AE$2,4,TRUE,"【別紙1】標高（入力）"))</f>
        <v/>
      </c>
      <c r="BF8" s="228" t="str">
        <f ca="1">INDIRECT(ADDRESS(MATCH($B8,'【別紙1】標高（入力）'!$B:$B,0),'【別紙1】標高（入力）'!AF$2,4,TRUE,"【別紙1】標高（入力）"))</f>
        <v/>
      </c>
      <c r="BG8" s="228" t="str">
        <f ca="1">INDIRECT(ADDRESS(MATCH($B8,'【別紙1】標高（入力）'!$B:$B,0),'【別紙1】標高（入力）'!AG$2,4,TRUE,"【別紙1】標高（入力）"))</f>
        <v/>
      </c>
      <c r="BH8" s="625" t="str">
        <f ca="1">INDIRECT(ADDRESS(MATCH($B8,'【別紙1】標高（入力）'!$B:$B,0),'【別紙1】標高（入力）'!AH$2,4,TRUE,"【別紙1】標高（入力）"))</f>
        <v/>
      </c>
      <c r="BI8" s="570"/>
      <c r="BJ8" s="599" t="str">
        <f t="shared" ref="BJ8:BJ69" ca="1" si="0">IF(AND(ISNUMBER(BH8)*1,ISNUMBER(BG8)*1),BH8,"-")</f>
        <v>-</v>
      </c>
      <c r="BK8" s="605">
        <f t="shared" ref="BK8:BK69" ca="1" si="1">SUM(K8:BH8)</f>
        <v>53.699999999999761</v>
      </c>
      <c r="BL8" s="601" t="str">
        <f ca="1">INDIRECT(ADDRESS(MATCH($B8,'【別紙1】標高（入力）'!$B:$B,0),'【別紙1】標高（入力）'!$N$2,4,TRUE,"【別紙1】標高（入力）"))</f>
        <v>H27</v>
      </c>
      <c r="BM8" s="341">
        <f ca="1">INDIRECT(ADDRESS(MATCH($B8,'【別紙1】標高（入力）'!$B:$B,0),'【別紙1】標高（入力）'!$O$2,4,TRUE,"【別紙1】標高（入力）"))</f>
        <v>15.850899999999999</v>
      </c>
      <c r="BN8" s="393" t="s">
        <v>1378</v>
      </c>
    </row>
    <row r="9" spans="1:70" ht="15.95" customHeight="1">
      <c r="A9" s="119">
        <v>105</v>
      </c>
      <c r="B9" s="107" t="s">
        <v>633</v>
      </c>
      <c r="C9" s="114" t="s">
        <v>6</v>
      </c>
      <c r="D9" s="596" t="s">
        <v>1391</v>
      </c>
      <c r="E9" s="109" t="s">
        <v>18</v>
      </c>
      <c r="F9" s="111" t="s">
        <v>12</v>
      </c>
      <c r="G9" s="112" t="s">
        <v>19</v>
      </c>
      <c r="H9" s="112" t="s">
        <v>541</v>
      </c>
      <c r="I9" s="112" t="s">
        <v>11</v>
      </c>
      <c r="J9" s="112" t="s">
        <v>263</v>
      </c>
      <c r="K9" s="222"/>
      <c r="L9" s="124">
        <v>17.3</v>
      </c>
      <c r="M9" s="124">
        <v>-3.9</v>
      </c>
      <c r="N9" s="124">
        <v>-5.8</v>
      </c>
      <c r="O9" s="124">
        <v>1.3</v>
      </c>
      <c r="P9" s="124">
        <v>7.9</v>
      </c>
      <c r="Q9" s="124">
        <v>2.9</v>
      </c>
      <c r="R9" s="123">
        <v>-0.5</v>
      </c>
      <c r="S9" s="227" t="s">
        <v>20</v>
      </c>
      <c r="T9" s="228"/>
      <c r="U9" s="228"/>
      <c r="V9" s="228"/>
      <c r="W9" s="229"/>
      <c r="X9" s="405" t="s">
        <v>21</v>
      </c>
      <c r="Y9" s="124">
        <v>-11.9</v>
      </c>
      <c r="Z9" s="224"/>
      <c r="AA9" s="221"/>
      <c r="AB9" s="129" t="s">
        <v>1277</v>
      </c>
      <c r="AC9" s="124">
        <v>15.1</v>
      </c>
      <c r="AD9" s="124">
        <v>-4</v>
      </c>
      <c r="AE9" s="124">
        <v>-5.3</v>
      </c>
      <c r="AF9" s="124">
        <v>6.7</v>
      </c>
      <c r="AG9" s="124">
        <v>2.9</v>
      </c>
      <c r="AH9" s="123">
        <v>-6.1</v>
      </c>
      <c r="AI9" s="126">
        <v>8.4</v>
      </c>
      <c r="AJ9" s="128">
        <v>-1.2</v>
      </c>
      <c r="AK9" s="128">
        <v>-3.6</v>
      </c>
      <c r="AL9" s="123">
        <v>5.3</v>
      </c>
      <c r="AM9" s="124">
        <v>0.70000000000192097</v>
      </c>
      <c r="AN9" s="123">
        <v>-7.4</v>
      </c>
      <c r="AO9" s="125">
        <v>7.9</v>
      </c>
      <c r="AP9" s="126">
        <v>1.4</v>
      </c>
      <c r="AQ9" s="139" t="s">
        <v>1068</v>
      </c>
      <c r="AR9" s="122"/>
      <c r="AS9" s="121">
        <v>2.2000000000000002</v>
      </c>
      <c r="AT9" s="126">
        <v>1.8</v>
      </c>
      <c r="AU9" s="135" t="s">
        <v>1070</v>
      </c>
      <c r="AV9" s="122"/>
      <c r="AW9" s="122"/>
      <c r="AX9" s="122"/>
      <c r="AY9" s="122">
        <v>-3</v>
      </c>
      <c r="AZ9" s="126">
        <v>-0.7</v>
      </c>
      <c r="BA9" s="126">
        <v>0</v>
      </c>
      <c r="BB9" s="126">
        <v>-0.4</v>
      </c>
      <c r="BC9" s="139" t="s">
        <v>1069</v>
      </c>
      <c r="BD9" s="122">
        <f ca="1">INDIRECT(ADDRESS(MATCH($B9,'【別紙1】標高（入力）'!$B:$B,0),'【別紙1】標高（入力）'!AD$2,4,TRUE,"【別紙1】標高（入力）"))</f>
        <v>-0.19999999999953388</v>
      </c>
      <c r="BE9" s="126">
        <f ca="1">INDIRECT(ADDRESS(MATCH($B9,'【別紙1】標高（入力）'!$B:$B,0),'【別紙1】標高（入力）'!AE$2,4,TRUE,"【別紙1】標高（入力）"))</f>
        <v>2.6000000000010459</v>
      </c>
      <c r="BF9" s="121">
        <f ca="1">INDIRECT(ADDRESS(MATCH($B9,'【別紙1】標高（入力）'!$B:$B,0),'【別紙1】標高（入力）'!AF$2,4,TRUE,"【別紙1】標高（入力）"))</f>
        <v>1.1000000000009891</v>
      </c>
      <c r="BG9" s="122" t="str">
        <f ca="1">INDIRECT(ADDRESS(MATCH($B9,'【別紙1】標高（入力）'!$B:$B,0),'【別紙1】標高（入力）'!AG$2,4,TRUE,"【別紙1】標高（入力）"))</f>
        <v/>
      </c>
      <c r="BH9" s="122" t="str">
        <f ca="1">INDIRECT(ADDRESS(MATCH($B9,'【別紙1】標高（入力）'!$B:$B,0),'【別紙1】標高（入力）'!AH$2,4,TRUE,"【別紙1】標高（入力）"))</f>
        <v/>
      </c>
      <c r="BI9" s="624"/>
      <c r="BJ9" s="598" t="str">
        <f t="shared" ref="BJ9:BJ15" ca="1" si="2">IF(AND(ISNUMBER(BI9)*1,ISNUMBER(BH9)*1),BI9,"-")</f>
        <v>-</v>
      </c>
      <c r="BK9" s="604">
        <f t="shared" ref="BK9:BK15" ca="1" si="3">SUM(K9:BI9)</f>
        <v>31.500000000004416</v>
      </c>
      <c r="BL9" s="600" t="str">
        <f ca="1">INDIRECT(ADDRESS(MATCH($B9,'【別紙1】標高（入力）'!$B:$B,0),'【別紙1】標高（入力）'!$N$2,4,TRUE,"【別紙1】標高（入力）"))</f>
        <v>R2</v>
      </c>
      <c r="BM9" s="340">
        <f ca="1">INDIRECT(ADDRESS(MATCH($B9,'【別紙1】標高（入力）'!$B:$B,0),'【別紙1】標高（入力）'!$O$2,4,TRUE,"【別紙1】標高（入力）"))</f>
        <v>17.899899999999999</v>
      </c>
      <c r="BN9" s="392"/>
    </row>
    <row r="10" spans="1:70" ht="14.25" customHeight="1">
      <c r="A10" s="119">
        <v>106</v>
      </c>
      <c r="B10" s="107" t="s">
        <v>411</v>
      </c>
      <c r="C10" s="114" t="s">
        <v>6</v>
      </c>
      <c r="D10" s="110" t="s">
        <v>664</v>
      </c>
      <c r="E10" s="109" t="s">
        <v>24</v>
      </c>
      <c r="F10" s="111" t="s">
        <v>12</v>
      </c>
      <c r="G10" s="112" t="s">
        <v>19</v>
      </c>
      <c r="H10" s="112" t="s">
        <v>541</v>
      </c>
      <c r="I10" s="112" t="s">
        <v>11</v>
      </c>
      <c r="J10" s="112" t="s">
        <v>263</v>
      </c>
      <c r="K10" s="222"/>
      <c r="L10" s="124">
        <v>16.7</v>
      </c>
      <c r="M10" s="124">
        <v>-4.7</v>
      </c>
      <c r="N10" s="124">
        <v>-5.7</v>
      </c>
      <c r="O10" s="136" t="s">
        <v>636</v>
      </c>
      <c r="P10" s="127">
        <v>9.8000000000000007</v>
      </c>
      <c r="Q10" s="124">
        <v>3.5</v>
      </c>
      <c r="R10" s="124">
        <v>-1.6</v>
      </c>
      <c r="S10" s="124">
        <v>-3.4</v>
      </c>
      <c r="T10" s="124">
        <v>4.5999999999999996</v>
      </c>
      <c r="U10" s="124">
        <v>0.8</v>
      </c>
      <c r="V10" s="124">
        <v>3.5</v>
      </c>
      <c r="W10" s="124">
        <v>13</v>
      </c>
      <c r="X10" s="124">
        <v>-1.2</v>
      </c>
      <c r="Y10" s="124">
        <v>-12.7</v>
      </c>
      <c r="Z10" s="406">
        <v>5.0999999999999996</v>
      </c>
      <c r="AA10" s="406">
        <v>5.0999999999999996</v>
      </c>
      <c r="AB10" s="124">
        <v>-3.7</v>
      </c>
      <c r="AC10" s="124">
        <v>7</v>
      </c>
      <c r="AD10" s="124">
        <v>-3.4</v>
      </c>
      <c r="AE10" s="124">
        <v>-6.1</v>
      </c>
      <c r="AF10" s="124">
        <v>6.2</v>
      </c>
      <c r="AG10" s="124">
        <v>4.3</v>
      </c>
      <c r="AH10" s="123">
        <v>-6.5</v>
      </c>
      <c r="AI10" s="125">
        <v>8.3000000000000007</v>
      </c>
      <c r="AJ10" s="128">
        <v>-1.4</v>
      </c>
      <c r="AK10" s="128">
        <v>-3.9</v>
      </c>
      <c r="AL10" s="123">
        <v>4.4000000000000004</v>
      </c>
      <c r="AM10" s="124">
        <v>0.70000000000192097</v>
      </c>
      <c r="AN10" s="123">
        <v>-7</v>
      </c>
      <c r="AO10" s="125">
        <v>8.6999999999999993</v>
      </c>
      <c r="AP10" s="126">
        <v>5.7</v>
      </c>
      <c r="AQ10" s="139" t="s">
        <v>1071</v>
      </c>
      <c r="AR10" s="122"/>
      <c r="AS10" s="122"/>
      <c r="AT10" s="121">
        <v>0.7</v>
      </c>
      <c r="AU10" s="135" t="s">
        <v>1070</v>
      </c>
      <c r="AV10" s="122"/>
      <c r="AW10" s="122"/>
      <c r="AX10" s="122"/>
      <c r="AY10" s="122">
        <v>-3.9</v>
      </c>
      <c r="AZ10" s="126">
        <v>-1.1000000000000001</v>
      </c>
      <c r="BA10" s="126">
        <v>0.1</v>
      </c>
      <c r="BB10" s="126">
        <v>-0.9</v>
      </c>
      <c r="BC10" s="139" t="s">
        <v>1069</v>
      </c>
      <c r="BD10" s="122">
        <f ca="1">INDIRECT(ADDRESS(MATCH($B10,'【別紙1】標高（入力）'!$B:$B,0),'【別紙1】標高（入力）'!AD$2,4,TRUE,"【別紙1】標高（入力）"))</f>
        <v>-0.49999999999883471</v>
      </c>
      <c r="BE10" s="126">
        <f ca="1">INDIRECT(ADDRESS(MATCH($B10,'【別紙1】標高（入力）'!$B:$B,0),'【別紙1】標高（入力）'!AE$2,4,TRUE,"【別紙1】標高（入力）"))</f>
        <v>3.9000000000015689</v>
      </c>
      <c r="BF10" s="121">
        <f ca="1">INDIRECT(ADDRESS(MATCH($B10,'【別紙1】標高（入力）'!$B:$B,0),'【別紙1】標高（入力）'!AF$2,4,TRUE,"【別紙1】標高（入力）"))</f>
        <v>0.79999999999813554</v>
      </c>
      <c r="BG10" s="633" t="s">
        <v>1514</v>
      </c>
      <c r="BH10" s="632" t="s">
        <v>247</v>
      </c>
      <c r="BI10" s="569">
        <f ca="1">INDIRECT(ADDRESS(MATCH($B10,'【別紙1】標高（入力）'!$B:$B,0),'【別紙1】標高（入力）'!AI$2,4,TRUE,"【別紙1】標高（入力）"))</f>
        <v>-3.3999999999991815</v>
      </c>
      <c r="BJ10" s="598" t="str">
        <f t="shared" ca="1" si="2"/>
        <v>-</v>
      </c>
      <c r="BK10" s="604">
        <f t="shared" ca="1" si="3"/>
        <v>41.800000000003607</v>
      </c>
      <c r="BL10" s="600" t="str">
        <f ca="1">INDIRECT(ADDRESS(MATCH($B10,'【別紙1】標高（入力）'!$B:$B,0),'【別紙1】標高（入力）'!$N$2,4,TRUE,"【別紙1】標高（入力）"))</f>
        <v>R5</v>
      </c>
      <c r="BM10" s="340">
        <f ca="1">INDIRECT(ADDRESS(MATCH($B10,'【別紙1】標高（入力）'!$B:$B,0),'【別紙1】標高（入力）'!$O$2,4,TRUE,"【別紙1】標高（入力）"))</f>
        <v>18.3842</v>
      </c>
      <c r="BN10" s="392"/>
      <c r="BR10" s="474"/>
    </row>
    <row r="11" spans="1:70" ht="15.95" customHeight="1">
      <c r="A11" s="119">
        <v>107</v>
      </c>
      <c r="B11" s="591">
        <v>7410</v>
      </c>
      <c r="C11" s="114" t="s">
        <v>6</v>
      </c>
      <c r="D11" s="110" t="s">
        <v>557</v>
      </c>
      <c r="E11" s="109" t="s">
        <v>26</v>
      </c>
      <c r="F11" s="111" t="s">
        <v>12</v>
      </c>
      <c r="G11" s="112" t="s">
        <v>19</v>
      </c>
      <c r="H11" s="112" t="s">
        <v>541</v>
      </c>
      <c r="I11" s="112" t="s">
        <v>11</v>
      </c>
      <c r="J11" s="112" t="s">
        <v>263</v>
      </c>
      <c r="K11" s="222"/>
      <c r="L11" s="124">
        <v>12.4</v>
      </c>
      <c r="M11" s="124">
        <v>-2.9</v>
      </c>
      <c r="N11" s="124">
        <v>-3.7</v>
      </c>
      <c r="O11" s="136" t="s">
        <v>636</v>
      </c>
      <c r="P11" s="127">
        <v>8.6999999999999993</v>
      </c>
      <c r="Q11" s="124">
        <v>-0.7</v>
      </c>
      <c r="R11" s="124">
        <v>4</v>
      </c>
      <c r="S11" s="124">
        <v>-4.0999999999999996</v>
      </c>
      <c r="T11" s="124">
        <v>2.6</v>
      </c>
      <c r="U11" s="124">
        <v>0.7</v>
      </c>
      <c r="V11" s="124">
        <v>1.7</v>
      </c>
      <c r="W11" s="124">
        <v>9.5</v>
      </c>
      <c r="X11" s="124">
        <v>-1.4</v>
      </c>
      <c r="Y11" s="136" t="s">
        <v>652</v>
      </c>
      <c r="Z11" s="407"/>
      <c r="AA11" s="407"/>
      <c r="AB11" s="127">
        <v>-3.1</v>
      </c>
      <c r="AC11" s="136" t="s">
        <v>1273</v>
      </c>
      <c r="AD11" s="122"/>
      <c r="AE11" s="127">
        <v>2.7</v>
      </c>
      <c r="AF11" s="136" t="s">
        <v>1273</v>
      </c>
      <c r="AG11" s="122"/>
      <c r="AH11" s="122">
        <v>1.4</v>
      </c>
      <c r="AI11" s="139" t="s">
        <v>707</v>
      </c>
      <c r="AJ11" s="122"/>
      <c r="AK11" s="122"/>
      <c r="AL11" s="122"/>
      <c r="AM11" s="122"/>
      <c r="AN11" s="122"/>
      <c r="AO11" s="122"/>
      <c r="AP11" s="121">
        <v>11.8</v>
      </c>
      <c r="AQ11" s="139" t="s">
        <v>1071</v>
      </c>
      <c r="AR11" s="122"/>
      <c r="AS11" s="122"/>
      <c r="AT11" s="122">
        <v>2.8</v>
      </c>
      <c r="AU11" s="125">
        <v>-4.5999999999999996</v>
      </c>
      <c r="AV11" s="125">
        <v>2.4</v>
      </c>
      <c r="AW11" s="139" t="s">
        <v>1068</v>
      </c>
      <c r="AX11" s="122"/>
      <c r="AY11" s="121">
        <v>0.6</v>
      </c>
      <c r="AZ11" s="126">
        <v>-1.1000000000000001</v>
      </c>
      <c r="BA11" s="126">
        <v>1.1000000000000001</v>
      </c>
      <c r="BB11" s="126">
        <v>-0.9</v>
      </c>
      <c r="BC11" s="139" t="s">
        <v>1069</v>
      </c>
      <c r="BD11" s="122">
        <f ca="1">INDIRECT(ADDRESS(MATCH($B11,'【別紙1】標高（入力）'!$B:$B,0),'【別紙1】標高（入力）'!AD$2,4,TRUE,"【別紙1】標高（入力）"))</f>
        <v>-0.10000000000331966</v>
      </c>
      <c r="BE11" s="126">
        <f ca="1">INDIRECT(ADDRESS(MATCH($B11,'【別紙1】標高（入力）'!$B:$B,0),'【別紙1】標高（入力）'!AE$2,4,TRUE,"【別紙1】標高（入力）"))</f>
        <v>1.5000000000000568</v>
      </c>
      <c r="BF11" s="121">
        <f ca="1">INDIRECT(ADDRESS(MATCH($B11,'【別紙1】標高（入力）'!$B:$B,0),'【別紙1】標高（入力）'!AF$2,4,TRUE,"【別紙1】標高（入力）"))</f>
        <v>0.70000000000192131</v>
      </c>
      <c r="BG11" s="121">
        <v>-0.59999999999860165</v>
      </c>
      <c r="BH11" s="126">
        <v>0.99999999999766942</v>
      </c>
      <c r="BI11" s="569">
        <f ca="1">INDIRECT(ADDRESS(MATCH($B11,'【別紙1】標高（入力）'!$B:$B,0),'【別紙1】標高（入力）'!AI$2,4,TRUE,"【別紙1】標高（入力）"))</f>
        <v>-9.9999999999766942E-2</v>
      </c>
      <c r="BJ11" s="598">
        <f t="shared" ca="1" si="2"/>
        <v>-9.9999999999766942E-2</v>
      </c>
      <c r="BK11" s="604">
        <f t="shared" ca="1" si="3"/>
        <v>42.299999999997951</v>
      </c>
      <c r="BL11" s="600" t="str">
        <f ca="1">INDIRECT(ADDRESS(MATCH($B11,'【別紙1】標高（入力）'!$B:$B,0),'【別紙1】標高（入力）'!$N$2,4,TRUE,"【別紙1】標高（入力）"))</f>
        <v>R5</v>
      </c>
      <c r="BM11" s="340">
        <f ca="1">INDIRECT(ADDRESS(MATCH($B11,'【別紙1】標高（入力）'!$B:$B,0),'【別紙1】標高（入力）'!$O$2,4,TRUE,"【別紙1】標高（入力）"))</f>
        <v>19.073</v>
      </c>
      <c r="BN11" s="392"/>
    </row>
    <row r="12" spans="1:70" ht="15.95" customHeight="1">
      <c r="A12" s="119">
        <v>108</v>
      </c>
      <c r="B12" s="107" t="s">
        <v>413</v>
      </c>
      <c r="C12" s="114" t="s">
        <v>6</v>
      </c>
      <c r="D12" s="110" t="s">
        <v>708</v>
      </c>
      <c r="E12" s="109" t="s">
        <v>1401</v>
      </c>
      <c r="F12" s="111" t="s">
        <v>9</v>
      </c>
      <c r="G12" s="112" t="s">
        <v>10</v>
      </c>
      <c r="H12" s="112" t="s">
        <v>541</v>
      </c>
      <c r="I12" s="112" t="s">
        <v>11</v>
      </c>
      <c r="J12" s="112" t="s">
        <v>263</v>
      </c>
      <c r="K12" s="224"/>
      <c r="L12" s="228"/>
      <c r="M12" s="221"/>
      <c r="N12" s="136" t="s">
        <v>1273</v>
      </c>
      <c r="O12" s="122"/>
      <c r="P12" s="127">
        <v>6.1</v>
      </c>
      <c r="Q12" s="124">
        <v>3.2</v>
      </c>
      <c r="R12" s="124">
        <v>0.4</v>
      </c>
      <c r="S12" s="136" t="s">
        <v>636</v>
      </c>
      <c r="T12" s="127">
        <v>1.2</v>
      </c>
      <c r="U12" s="136" t="s">
        <v>652</v>
      </c>
      <c r="V12" s="122"/>
      <c r="W12" s="122"/>
      <c r="X12" s="127">
        <v>14.5</v>
      </c>
      <c r="Y12" s="136" t="s">
        <v>652</v>
      </c>
      <c r="Z12" s="122"/>
      <c r="AA12" s="122"/>
      <c r="AB12" s="127">
        <v>7.6</v>
      </c>
      <c r="AC12" s="136" t="s">
        <v>1273</v>
      </c>
      <c r="AD12" s="122"/>
      <c r="AE12" s="127">
        <v>-4.4000000000000004</v>
      </c>
      <c r="AF12" s="136" t="s">
        <v>1273</v>
      </c>
      <c r="AG12" s="122"/>
      <c r="AH12" s="122">
        <v>0.8</v>
      </c>
      <c r="AI12" s="139" t="s">
        <v>707</v>
      </c>
      <c r="AJ12" s="122"/>
      <c r="AK12" s="122"/>
      <c r="AL12" s="122"/>
      <c r="AM12" s="122"/>
      <c r="AN12" s="122"/>
      <c r="AO12" s="122"/>
      <c r="AP12" s="121">
        <v>20.7</v>
      </c>
      <c r="AQ12" s="139" t="s">
        <v>1071</v>
      </c>
      <c r="AR12" s="122"/>
      <c r="AS12" s="122"/>
      <c r="AT12" s="122">
        <v>1.6</v>
      </c>
      <c r="AU12" s="125">
        <v>-3.7</v>
      </c>
      <c r="AV12" s="125">
        <v>1.4</v>
      </c>
      <c r="AW12" s="139" t="s">
        <v>1068</v>
      </c>
      <c r="AX12" s="122"/>
      <c r="AY12" s="122">
        <v>2.1</v>
      </c>
      <c r="AZ12" s="139" t="s">
        <v>1069</v>
      </c>
      <c r="BA12" s="122">
        <v>-1.5</v>
      </c>
      <c r="BB12" s="126">
        <v>1.6</v>
      </c>
      <c r="BC12" s="139" t="s">
        <v>1069</v>
      </c>
      <c r="BD12" s="122">
        <f ca="1">INDIRECT(ADDRESS(MATCH($B12,'【別紙1】標高（入力）'!$B:$B,0),'【別紙1】標高（入力）'!AD$2,4,TRUE,"【別紙1】標高（入力）"))</f>
        <v>-1.300000000000523</v>
      </c>
      <c r="BE12" s="125" t="s">
        <v>1333</v>
      </c>
      <c r="BF12" s="121">
        <f ca="1">INDIRECT(ADDRESS(MATCH($B12,'【別紙1】標高（入力）'!$B:$B,0),'【別紙1】標高（入力）'!AF$2,4,TRUE,"【別紙1】標高（入力）"))</f>
        <v>5.2000000000020918</v>
      </c>
      <c r="BG12" s="121">
        <v>0.60000000000215437</v>
      </c>
      <c r="BH12" s="125">
        <v>1.6999999999995907</v>
      </c>
      <c r="BI12" s="567"/>
      <c r="BJ12" s="598" t="str">
        <f t="shared" si="2"/>
        <v>-</v>
      </c>
      <c r="BK12" s="604">
        <f t="shared" ca="1" si="3"/>
        <v>57.800000000003315</v>
      </c>
      <c r="BL12" s="600" t="str">
        <f ca="1">INDIRECT(ADDRESS(MATCH($B12,'【別紙1】標高（入力）'!$B:$B,0),'【別紙1】標高（入力）'!$N$2,4,TRUE,"【別紙1】標高（入力）"))</f>
        <v>R3</v>
      </c>
      <c r="BM12" s="340">
        <f ca="1">INDIRECT(ADDRESS(MATCH($B12,'【別紙1】標高（入力）'!$B:$B,0),'【別紙1】標高（入力）'!$O$2,4,TRUE,"【別紙1】標高（入力）"))</f>
        <v>25.169</v>
      </c>
      <c r="BN12" s="392"/>
    </row>
    <row r="13" spans="1:70" ht="15.95" customHeight="1">
      <c r="A13" s="119">
        <v>109</v>
      </c>
      <c r="B13" s="107" t="s">
        <v>415</v>
      </c>
      <c r="C13" s="114" t="s">
        <v>6</v>
      </c>
      <c r="D13" s="110" t="s">
        <v>29</v>
      </c>
      <c r="E13" s="597" t="s">
        <v>1402</v>
      </c>
      <c r="F13" s="111" t="s">
        <v>9</v>
      </c>
      <c r="G13" s="112" t="s">
        <v>31</v>
      </c>
      <c r="H13" s="112" t="s">
        <v>541</v>
      </c>
      <c r="I13" s="112" t="s">
        <v>11</v>
      </c>
      <c r="J13" s="112" t="s">
        <v>263</v>
      </c>
      <c r="K13" s="224"/>
      <c r="L13" s="228"/>
      <c r="M13" s="228"/>
      <c r="N13" s="228"/>
      <c r="O13" s="228"/>
      <c r="P13" s="221"/>
      <c r="Q13" s="124">
        <v>-0.1</v>
      </c>
      <c r="R13" s="124">
        <v>-0.2</v>
      </c>
      <c r="S13" s="136" t="s">
        <v>636</v>
      </c>
      <c r="T13" s="127">
        <v>1.5</v>
      </c>
      <c r="U13" s="136" t="s">
        <v>1275</v>
      </c>
      <c r="V13" s="122"/>
      <c r="W13" s="122"/>
      <c r="X13" s="122"/>
      <c r="Y13" s="122"/>
      <c r="Z13" s="122"/>
      <c r="AA13" s="122"/>
      <c r="AB13" s="127">
        <v>14.8</v>
      </c>
      <c r="AC13" s="136" t="s">
        <v>1273</v>
      </c>
      <c r="AD13" s="122"/>
      <c r="AE13" s="127">
        <v>-9.1</v>
      </c>
      <c r="AF13" s="136" t="s">
        <v>1273</v>
      </c>
      <c r="AG13" s="122"/>
      <c r="AH13" s="122">
        <v>-0.8</v>
      </c>
      <c r="AI13" s="139" t="s">
        <v>707</v>
      </c>
      <c r="AJ13" s="122"/>
      <c r="AK13" s="122"/>
      <c r="AL13" s="122"/>
      <c r="AM13" s="122"/>
      <c r="AN13" s="122"/>
      <c r="AO13" s="122"/>
      <c r="AP13" s="121">
        <v>13.4</v>
      </c>
      <c r="AQ13" s="135" t="s">
        <v>1072</v>
      </c>
      <c r="AR13" s="122"/>
      <c r="AS13" s="122"/>
      <c r="AT13" s="122"/>
      <c r="AU13" s="122"/>
      <c r="AV13" s="122">
        <v>-3</v>
      </c>
      <c r="AW13" s="139" t="s">
        <v>1072</v>
      </c>
      <c r="AX13" s="122"/>
      <c r="AY13" s="122"/>
      <c r="AZ13" s="122"/>
      <c r="BA13" s="122"/>
      <c r="BB13" s="121">
        <v>2.2999999999999998</v>
      </c>
      <c r="BC13" s="139" t="s">
        <v>1070</v>
      </c>
      <c r="BD13" s="122" t="str">
        <f ca="1">INDIRECT(ADDRESS(MATCH($B13,'【別紙1】標高（入力）'!$B:$B,0),'【別紙1】標高（入力）'!AD$2,4,TRUE,"【別紙1】標高（入力）"))</f>
        <v/>
      </c>
      <c r="BE13" s="122" t="str">
        <f ca="1">INDIRECT(ADDRESS(MATCH($B13,'【別紙1】標高（入力）'!$B:$B,0),'【別紙1】標高（入力）'!AE$2,4,TRUE,"【別紙1】標高（入力）"))</f>
        <v/>
      </c>
      <c r="BF13" s="122" t="str">
        <f ca="1">INDIRECT(ADDRESS(MATCH($B13,'【別紙1】標高（入力）'!$B:$B,0),'【別紙1】標高（入力）'!AF$2,4,TRUE,"【別紙1】標高（入力）"))</f>
        <v/>
      </c>
      <c r="BG13" s="121">
        <f ca="1">INDIRECT(ADDRESS(MATCH($B13,'【別紙1】標高（入力）'!$B:$B,0),'【別紙1】標高（入力）'!AG$2,4,TRUE,"【別紙1】標高（入力）"))</f>
        <v>2.1999999999984254</v>
      </c>
      <c r="BH13" s="126">
        <f ca="1">INDIRECT(ADDRESS(MATCH($B13,'【別紙1】標高（入力）'!$B:$B,0),'【別紙1】標高（入力）'!AH$2,4,TRUE,"【別紙1】標高（入力）"))</f>
        <v>1.9999999999988916</v>
      </c>
      <c r="BI13" s="624"/>
      <c r="BJ13" s="598" t="str">
        <f t="shared" ca="1" si="2"/>
        <v>-</v>
      </c>
      <c r="BK13" s="604">
        <f t="shared" ca="1" si="3"/>
        <v>22.999999999997318</v>
      </c>
      <c r="BL13" s="600" t="str">
        <f ca="1">INDIRECT(ADDRESS(MATCH($B13,'【別紙1】標高（入力）'!$B:$B,0),'【別紙1】標高（入力）'!$N$2,4,TRUE,"【別紙1】標高（入力）"))</f>
        <v>R4</v>
      </c>
      <c r="BM13" s="340">
        <f ca="1">INDIRECT(ADDRESS(MATCH($B13,'【別紙1】標高（入力）'!$B:$B,0),'【別紙1】標高（入力）'!$O$2,4,TRUE,"【別紙1】標高（入力）"))</f>
        <v>31.895900000000001</v>
      </c>
      <c r="BN13" s="392"/>
    </row>
    <row r="14" spans="1:70" ht="15.95" customHeight="1">
      <c r="A14" s="119">
        <v>110</v>
      </c>
      <c r="B14" s="591">
        <v>7409</v>
      </c>
      <c r="C14" s="114" t="s">
        <v>6</v>
      </c>
      <c r="D14" s="596" t="s">
        <v>1392</v>
      </c>
      <c r="E14" s="597" t="s">
        <v>1403</v>
      </c>
      <c r="F14" s="111" t="s">
        <v>12</v>
      </c>
      <c r="G14" s="112" t="s">
        <v>19</v>
      </c>
      <c r="H14" s="112" t="s">
        <v>541</v>
      </c>
      <c r="I14" s="112" t="s">
        <v>11</v>
      </c>
      <c r="J14" s="112" t="s">
        <v>263</v>
      </c>
      <c r="K14" s="222"/>
      <c r="L14" s="124">
        <v>26.1</v>
      </c>
      <c r="M14" s="124">
        <v>-4.2</v>
      </c>
      <c r="N14" s="124">
        <v>-6.6</v>
      </c>
      <c r="O14" s="136" t="s">
        <v>636</v>
      </c>
      <c r="P14" s="127">
        <v>15.7</v>
      </c>
      <c r="Q14" s="124">
        <v>1</v>
      </c>
      <c r="R14" s="124">
        <v>0.8</v>
      </c>
      <c r="S14" s="124">
        <v>-1</v>
      </c>
      <c r="T14" s="124">
        <v>1.9</v>
      </c>
      <c r="U14" s="124">
        <v>1.1000000000000001</v>
      </c>
      <c r="V14" s="124">
        <v>2.7</v>
      </c>
      <c r="W14" s="124">
        <v>11.3</v>
      </c>
      <c r="X14" s="124">
        <v>-0.4</v>
      </c>
      <c r="Y14" s="136" t="s">
        <v>652</v>
      </c>
      <c r="Z14" s="122"/>
      <c r="AA14" s="122"/>
      <c r="AB14" s="127">
        <v>1.9</v>
      </c>
      <c r="AC14" s="136" t="s">
        <v>1273</v>
      </c>
      <c r="AD14" s="122"/>
      <c r="AE14" s="127">
        <v>3.4</v>
      </c>
      <c r="AF14" s="136" t="s">
        <v>1273</v>
      </c>
      <c r="AG14" s="122"/>
      <c r="AH14" s="122">
        <v>3.7</v>
      </c>
      <c r="AI14" s="139" t="s">
        <v>707</v>
      </c>
      <c r="AJ14" s="122"/>
      <c r="AK14" s="122"/>
      <c r="AL14" s="122"/>
      <c r="AM14" s="122"/>
      <c r="AN14" s="122"/>
      <c r="AO14" s="122"/>
      <c r="AP14" s="121">
        <v>14.1</v>
      </c>
      <c r="AQ14" s="228"/>
      <c r="AR14" s="228"/>
      <c r="AS14" s="228"/>
      <c r="AT14" s="139" t="s">
        <v>314</v>
      </c>
      <c r="AU14" s="126">
        <v>-3.9</v>
      </c>
      <c r="AV14" s="126">
        <v>0.9</v>
      </c>
      <c r="AW14" s="139" t="s">
        <v>1068</v>
      </c>
      <c r="AX14" s="122"/>
      <c r="AY14" s="122">
        <v>3.5</v>
      </c>
      <c r="AZ14" s="126">
        <v>-0.3</v>
      </c>
      <c r="BA14" s="126">
        <v>2.2999999999999998</v>
      </c>
      <c r="BB14" s="126">
        <v>0.1</v>
      </c>
      <c r="BC14" s="139" t="s">
        <v>1069</v>
      </c>
      <c r="BD14" s="122">
        <f ca="1">INDIRECT(ADDRESS(MATCH($B14,'【別紙1】標高（入力）'!$B:$B,0),'【別紙1】標高（入力）'!AD$2,4,TRUE,"【別紙1】標高（入力）"))</f>
        <v>1.1000000000009891</v>
      </c>
      <c r="BE14" s="126">
        <f ca="1">INDIRECT(ADDRESS(MATCH($B14,'【別紙1】標高（入力）'!$B:$B,0),'【別紙1】標高（入力）'!AE$2,4,TRUE,"【別紙1】標高（入力）"))</f>
        <v>3.1999999999996476</v>
      </c>
      <c r="BF14" s="121">
        <f ca="1">INDIRECT(ADDRESS(MATCH($B14,'【別紙1】標高（入力）'!$B:$B,0),'【別紙1】標高（入力）'!AF$2,4,TRUE,"【別紙1】標高（入力）"))</f>
        <v>0.59999999999860165</v>
      </c>
      <c r="BG14" s="121">
        <f ca="1">INDIRECT(ADDRESS(MATCH($B14,'【別紙1】標高（入力）'!$B:$B,0),'【別紙1】標高（入力）'!AG$2,4,TRUE,"【別紙1】標高（入力）"))</f>
        <v>0.60000000000215437</v>
      </c>
      <c r="BH14" s="126">
        <f ca="1">INDIRECT(ADDRESS(MATCH($B14,'【別紙1】標高（入力）'!$B:$B,0),'【別紙1】標高（入力）'!AH$2,4,TRUE,"【別紙1】標高（入力）"))</f>
        <v>1.6999999999995907</v>
      </c>
      <c r="BI14" s="569">
        <f ca="1">INDIRECT(ADDRESS(MATCH($B14,'【別紙1】標高（入力）'!$B:$B,0),'【別紙1】標高（入力）'!AI$2,4,TRUE,"【別紙1】標高（入力）"))</f>
        <v>0.19999999999953388</v>
      </c>
      <c r="BJ14" s="598">
        <f t="shared" ca="1" si="2"/>
        <v>0.19999999999953388</v>
      </c>
      <c r="BK14" s="604">
        <f t="shared" ca="1" si="3"/>
        <v>81.500000000000512</v>
      </c>
      <c r="BL14" s="600" t="str">
        <f ca="1">INDIRECT(ADDRESS(MATCH($B14,'【別紙1】標高（入力）'!$B:$B,0),'【別紙1】標高（入力）'!$N$2,4,TRUE,"【別紙1】標高（入力）"))</f>
        <v>R5</v>
      </c>
      <c r="BM14" s="340">
        <f ca="1">INDIRECT(ADDRESS(MATCH($B14,'【別紙1】標高（入力）'!$B:$B,0),'【別紙1】標高（入力）'!$O$2,4,TRUE,"【別紙1】標高（入力）"))</f>
        <v>16.5046</v>
      </c>
      <c r="BN14" s="392" t="s">
        <v>319</v>
      </c>
    </row>
    <row r="15" spans="1:70" ht="15.95" customHeight="1">
      <c r="A15" s="119">
        <v>111</v>
      </c>
      <c r="B15" s="107" t="s">
        <v>1169</v>
      </c>
      <c r="C15" s="114" t="s">
        <v>6</v>
      </c>
      <c r="D15" s="596" t="s">
        <v>1393</v>
      </c>
      <c r="E15" s="109" t="s">
        <v>35</v>
      </c>
      <c r="F15" s="111" t="s">
        <v>9</v>
      </c>
      <c r="G15" s="112" t="s">
        <v>36</v>
      </c>
      <c r="H15" s="112" t="s">
        <v>541</v>
      </c>
      <c r="I15" s="112" t="s">
        <v>11</v>
      </c>
      <c r="J15" s="112" t="s">
        <v>263</v>
      </c>
      <c r="K15" s="224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1"/>
      <c r="AG15" s="129" t="s">
        <v>37</v>
      </c>
      <c r="AH15" s="136" t="s">
        <v>1278</v>
      </c>
      <c r="AI15" s="139" t="s">
        <v>707</v>
      </c>
      <c r="AJ15" s="122"/>
      <c r="AK15" s="122"/>
      <c r="AL15" s="122"/>
      <c r="AM15" s="122"/>
      <c r="AN15" s="122"/>
      <c r="AO15" s="122"/>
      <c r="AP15" s="121">
        <v>28.7</v>
      </c>
      <c r="AQ15" s="139" t="s">
        <v>1071</v>
      </c>
      <c r="AR15" s="122"/>
      <c r="AS15" s="122"/>
      <c r="AT15" s="122">
        <v>5.4</v>
      </c>
      <c r="AU15" s="139" t="s">
        <v>1070</v>
      </c>
      <c r="AV15" s="122"/>
      <c r="AW15" s="122"/>
      <c r="AX15" s="122"/>
      <c r="AY15" s="122">
        <v>3.9</v>
      </c>
      <c r="AZ15" s="126">
        <v>0.2</v>
      </c>
      <c r="BA15" s="126">
        <v>0.9</v>
      </c>
      <c r="BB15" s="139" t="s">
        <v>1068</v>
      </c>
      <c r="BC15" s="122"/>
      <c r="BD15" s="122">
        <f ca="1">INDIRECT(ADDRESS(MATCH($B15,'【別紙1】標高（入力）'!$B:$B,0),'【別紙1】標高（入力）'!AD$2,4,TRUE,"【別紙1】標高（入力）"))</f>
        <v>2.2999999999981924</v>
      </c>
      <c r="BE15" s="126">
        <f ca="1">INDIRECT(ADDRESS(MATCH($B15,'【別紙1】標高（入力）'!$B:$B,0),'【別紙1】標高（入力）'!AE$2,4,TRUE,"【別紙1】標高（入力）"))</f>
        <v>5.3000000000018588</v>
      </c>
      <c r="BF15" s="121">
        <f ca="1">INDIRECT(ADDRESS(MATCH($B15,'【別紙1】標高（入力）'!$B:$B,0),'【別紙1】標高（入力）'!AF$2,4,TRUE,"【別紙1】標高（入力）"))</f>
        <v>0.89999999999790248</v>
      </c>
      <c r="BG15" s="633" t="s">
        <v>1514</v>
      </c>
      <c r="BH15" s="632" t="str">
        <f ca="1">INDIRECT(ADDRESS(MATCH($B15,'【別紙1】標高（入力）'!$B:$B,0),'【別紙1】標高（入力）'!AH$2,4,TRUE,"【別紙1】標高（入力）"))</f>
        <v/>
      </c>
      <c r="BI15" s="569">
        <f ca="1">INDIRECT(ADDRESS(MATCH($B15,'【別紙1】標高（入力）'!$B:$B,0),'【別紙1】標高（入力）'!AI$2,4,TRUE,"【別紙1】標高（入力）"))</f>
        <v>0.49999999999883471</v>
      </c>
      <c r="BJ15" s="598" t="str">
        <f t="shared" ca="1" si="2"/>
        <v>-</v>
      </c>
      <c r="BK15" s="604">
        <f t="shared" ca="1" si="3"/>
        <v>48.09999999999679</v>
      </c>
      <c r="BL15" s="600" t="str">
        <f ca="1">INDIRECT(ADDRESS(MATCH($B15,'【別紙1】標高（入力）'!$B:$B,0),'【別紙1】標高（入力）'!$N$2,4,TRUE,"【別紙1】標高（入力）"))</f>
        <v>R5</v>
      </c>
      <c r="BM15" s="340">
        <f ca="1">INDIRECT(ADDRESS(MATCH($B15,'【別紙1】標高（入力）'!$B:$B,0),'【別紙1】標高（入力）'!$O$2,4,TRUE,"【別紙1】標高（入力）"))</f>
        <v>20.635000000000002</v>
      </c>
      <c r="BN15" s="392"/>
    </row>
    <row r="16" spans="1:70" s="231" customFormat="1" ht="15.95" customHeight="1">
      <c r="A16" s="214">
        <v>201</v>
      </c>
      <c r="B16" s="215" t="s">
        <v>418</v>
      </c>
      <c r="C16" s="216" t="s">
        <v>38</v>
      </c>
      <c r="D16" s="217" t="s">
        <v>713</v>
      </c>
      <c r="E16" s="218" t="s">
        <v>40</v>
      </c>
      <c r="F16" s="219" t="s">
        <v>9</v>
      </c>
      <c r="G16" s="220" t="s">
        <v>19</v>
      </c>
      <c r="H16" s="220" t="s">
        <v>541</v>
      </c>
      <c r="I16" s="220" t="s">
        <v>11</v>
      </c>
      <c r="J16" s="220" t="s">
        <v>263</v>
      </c>
      <c r="K16" s="222"/>
      <c r="L16" s="124">
        <v>25.6</v>
      </c>
      <c r="M16" s="124">
        <v>1.3</v>
      </c>
      <c r="N16" s="124">
        <v>-3.9</v>
      </c>
      <c r="O16" s="124">
        <v>4.3</v>
      </c>
      <c r="P16" s="124">
        <v>11.6</v>
      </c>
      <c r="Q16" s="124">
        <v>6.5</v>
      </c>
      <c r="R16" s="124">
        <v>1.4</v>
      </c>
      <c r="S16" s="124">
        <v>-1.4</v>
      </c>
      <c r="T16" s="124">
        <v>5.7</v>
      </c>
      <c r="U16" s="124">
        <v>1.7</v>
      </c>
      <c r="V16" s="124">
        <v>3.5</v>
      </c>
      <c r="W16" s="124">
        <v>23</v>
      </c>
      <c r="X16" s="124">
        <v>3.3</v>
      </c>
      <c r="Y16" s="124">
        <v>-8.6999999999999993</v>
      </c>
      <c r="Z16" s="124">
        <v>2.9</v>
      </c>
      <c r="AA16" s="124">
        <v>5.7</v>
      </c>
      <c r="AB16" s="124">
        <v>-3</v>
      </c>
      <c r="AC16" s="124">
        <v>9.1</v>
      </c>
      <c r="AD16" s="124">
        <v>-1.4</v>
      </c>
      <c r="AE16" s="124">
        <v>-3.6</v>
      </c>
      <c r="AF16" s="124">
        <v>6.2</v>
      </c>
      <c r="AG16" s="124">
        <v>4.8</v>
      </c>
      <c r="AH16" s="123">
        <v>-6</v>
      </c>
      <c r="AI16" s="126">
        <v>9.3000000000000007</v>
      </c>
      <c r="AJ16" s="128">
        <v>2.2000000000000002</v>
      </c>
      <c r="AK16" s="128">
        <v>-2.2000000000000002</v>
      </c>
      <c r="AL16" s="123">
        <v>5.3</v>
      </c>
      <c r="AM16" s="124">
        <v>1.50000000000006</v>
      </c>
      <c r="AN16" s="123">
        <v>-7.6</v>
      </c>
      <c r="AO16" s="125">
        <v>8.4</v>
      </c>
      <c r="AP16" s="126">
        <v>5.4</v>
      </c>
      <c r="AQ16" s="139" t="s">
        <v>1068</v>
      </c>
      <c r="AR16" s="122"/>
      <c r="AS16" s="121">
        <v>2.2999999999999998</v>
      </c>
      <c r="AT16" s="122">
        <v>4.2</v>
      </c>
      <c r="AU16" s="125">
        <v>-5.4</v>
      </c>
      <c r="AV16" s="125">
        <v>2.7</v>
      </c>
      <c r="AW16" s="225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625"/>
      <c r="BI16" s="570"/>
      <c r="BJ16" s="599" t="str">
        <f t="shared" si="0"/>
        <v>-</v>
      </c>
      <c r="BK16" s="605">
        <f t="shared" si="1"/>
        <v>114.70000000000007</v>
      </c>
      <c r="BL16" s="601" t="str">
        <f ca="1">INDIRECT(ADDRESS(MATCH($B16,'【別紙1】標高（入力）'!$B:$B,0),'【別紙1】標高（入力）'!$N$2,4,TRUE,"【別紙1】標高（入力）"))</f>
        <v>H22</v>
      </c>
      <c r="BM16" s="341">
        <f ca="1">INDIRECT(ADDRESS(MATCH($B16,'【別紙1】標高（入力）'!$B:$B,0),'【別紙1】標高（入力）'!$O$2,4,TRUE,"【別紙1】標高（入力）"))</f>
        <v>15.417599999999998</v>
      </c>
      <c r="BN16" s="393" t="s">
        <v>522</v>
      </c>
    </row>
    <row r="17" spans="1:66" ht="15.95" customHeight="1">
      <c r="A17" s="119">
        <v>202</v>
      </c>
      <c r="B17" s="107" t="s">
        <v>385</v>
      </c>
      <c r="C17" s="114" t="s">
        <v>38</v>
      </c>
      <c r="D17" s="110" t="s">
        <v>714</v>
      </c>
      <c r="E17" s="109" t="s">
        <v>42</v>
      </c>
      <c r="F17" s="111" t="s">
        <v>9</v>
      </c>
      <c r="G17" s="112" t="s">
        <v>31</v>
      </c>
      <c r="H17" s="112" t="s">
        <v>541</v>
      </c>
      <c r="I17" s="112" t="s">
        <v>539</v>
      </c>
      <c r="J17" s="112" t="s">
        <v>264</v>
      </c>
      <c r="K17" s="224"/>
      <c r="L17" s="228"/>
      <c r="M17" s="228"/>
      <c r="N17" s="228"/>
      <c r="O17" s="228"/>
      <c r="P17" s="221"/>
      <c r="Q17" s="124">
        <v>29.5</v>
      </c>
      <c r="R17" s="124">
        <v>13.2</v>
      </c>
      <c r="S17" s="124">
        <v>-23.8</v>
      </c>
      <c r="T17" s="124">
        <v>32.799999999999997</v>
      </c>
      <c r="U17" s="124">
        <v>2.4</v>
      </c>
      <c r="V17" s="124">
        <v>17.2</v>
      </c>
      <c r="W17" s="124">
        <v>36.799999999999997</v>
      </c>
      <c r="X17" s="124">
        <v>6.4</v>
      </c>
      <c r="Y17" s="124">
        <v>4.7</v>
      </c>
      <c r="Z17" s="124">
        <v>-8.8000000000000007</v>
      </c>
      <c r="AA17" s="124">
        <v>9.1999999999999993</v>
      </c>
      <c r="AB17" s="124">
        <v>13.3</v>
      </c>
      <c r="AC17" s="124">
        <v>38.1</v>
      </c>
      <c r="AD17" s="124">
        <v>-9.9</v>
      </c>
      <c r="AE17" s="124">
        <v>-0.3</v>
      </c>
      <c r="AF17" s="124">
        <v>7.5</v>
      </c>
      <c r="AG17" s="124">
        <v>7</v>
      </c>
      <c r="AH17" s="123">
        <v>-6.3</v>
      </c>
      <c r="AI17" s="125">
        <v>5.5</v>
      </c>
      <c r="AJ17" s="411" t="s">
        <v>300</v>
      </c>
      <c r="AK17" s="413" t="s">
        <v>300</v>
      </c>
      <c r="AL17" s="122">
        <v>4.9000000000000004</v>
      </c>
      <c r="AM17" s="124">
        <v>0.40000000000084401</v>
      </c>
      <c r="AN17" s="123">
        <v>-5.9</v>
      </c>
      <c r="AO17" s="125">
        <v>13.7</v>
      </c>
      <c r="AP17" s="139" t="s">
        <v>636</v>
      </c>
      <c r="AQ17" s="122">
        <v>9</v>
      </c>
      <c r="AR17" s="125">
        <v>5.3</v>
      </c>
      <c r="AS17" s="125">
        <v>5.4</v>
      </c>
      <c r="AT17" s="125">
        <v>12.1</v>
      </c>
      <c r="AU17" s="125">
        <v>3.5</v>
      </c>
      <c r="AV17" s="125">
        <v>-1.5</v>
      </c>
      <c r="AW17" s="125">
        <v>0.6</v>
      </c>
      <c r="AX17" s="125">
        <v>4.2</v>
      </c>
      <c r="AY17" s="139" t="s">
        <v>1068</v>
      </c>
      <c r="AZ17" s="122"/>
      <c r="BA17" s="122">
        <v>-0.2</v>
      </c>
      <c r="BB17" s="126">
        <v>-1.8</v>
      </c>
      <c r="BC17" s="122">
        <v>2</v>
      </c>
      <c r="BD17" s="139" t="s">
        <v>1335</v>
      </c>
      <c r="BE17" s="122" t="str">
        <f ca="1">INDIRECT(ADDRESS(MATCH($B17,'【別紙1】標高（入力）'!$B:$B,0),'【別紙1】標高（入力）'!AE$2,4,TRUE,"【別紙1】標高（入力）"))</f>
        <v/>
      </c>
      <c r="BF17" s="121">
        <f ca="1">INDIRECT(ADDRESS(MATCH($B17,'【別紙1】標高（入力）'!$B:$B,0),'【別紙1】標高（入力）'!AF$2,4,TRUE,"【別紙1】標高（入力）"))</f>
        <v>11.599999999999611</v>
      </c>
      <c r="BG17" s="121">
        <f ca="1">INDIRECT(ADDRESS(MATCH($B17,'【別紙1】標高（入力）'!$B:$B,0),'【別紙1】標高（入力）'!AG$2,4,TRUE,"【別紙1】標高（入力）"))</f>
        <v>-1.6999999999995907</v>
      </c>
      <c r="BH17" s="125" t="str">
        <f ca="1">INDIRECT(ADDRESS(MATCH($B17,'【別紙1】標高（入力）'!$B:$B,0),'【別紙1】標高（入力）'!AH$2,4,TRUE,"【別紙1】標高（入力）"))</f>
        <v/>
      </c>
      <c r="BI17" s="624"/>
      <c r="BJ17" s="598" t="str">
        <f t="shared" ref="BJ17:BJ25" ca="1" si="4">IF(AND(ISNUMBER(BI17)*1,ISNUMBER(BH17)*1),BI17,"-")</f>
        <v>-</v>
      </c>
      <c r="BK17" s="604">
        <f t="shared" ref="BK17:BK25" ca="1" si="5">SUM(K17:BI17)</f>
        <v>236.10000000000082</v>
      </c>
      <c r="BL17" s="600" t="str">
        <f ca="1">INDIRECT(ADDRESS(MATCH($B17,'【別紙1】標高（入力）'!$B:$B,0),'【別紙1】標高（入力）'!$N$2,4,TRUE,"【別紙1】標高（入力）"))</f>
        <v>R3</v>
      </c>
      <c r="BM17" s="342">
        <f ca="1">INDIRECT(ADDRESS(MATCH($B17,'【別紙1】標高（入力）'!$B:$B,0),'【別紙1】標高（入力）'!$O$2,4,TRUE,"【別紙1】標高（入力）"))</f>
        <v>11.479699999999999</v>
      </c>
      <c r="BN17" s="392"/>
    </row>
    <row r="18" spans="1:66" ht="15.95" customHeight="1">
      <c r="A18" s="119">
        <v>203</v>
      </c>
      <c r="B18" s="107" t="s">
        <v>383</v>
      </c>
      <c r="C18" s="114" t="s">
        <v>38</v>
      </c>
      <c r="D18" s="110" t="s">
        <v>565</v>
      </c>
      <c r="E18" s="109" t="s">
        <v>44</v>
      </c>
      <c r="F18" s="111" t="s">
        <v>9</v>
      </c>
      <c r="G18" s="112" t="s">
        <v>19</v>
      </c>
      <c r="H18" s="112" t="s">
        <v>541</v>
      </c>
      <c r="I18" s="112" t="s">
        <v>539</v>
      </c>
      <c r="J18" s="112" t="s">
        <v>264</v>
      </c>
      <c r="K18" s="222"/>
      <c r="L18" s="124">
        <v>34.299999999999997</v>
      </c>
      <c r="M18" s="124">
        <v>3.6</v>
      </c>
      <c r="N18" s="124">
        <v>-5</v>
      </c>
      <c r="O18" s="124">
        <v>6.1</v>
      </c>
      <c r="P18" s="124">
        <v>8.4</v>
      </c>
      <c r="Q18" s="124">
        <v>7.4</v>
      </c>
      <c r="R18" s="124">
        <v>8.4</v>
      </c>
      <c r="S18" s="124">
        <v>-6.2</v>
      </c>
      <c r="T18" s="124">
        <v>4.0999999999999996</v>
      </c>
      <c r="U18" s="124">
        <v>2.5</v>
      </c>
      <c r="V18" s="124">
        <v>9</v>
      </c>
      <c r="W18" s="124">
        <v>26.4</v>
      </c>
      <c r="X18" s="124">
        <v>-0.3</v>
      </c>
      <c r="Y18" s="124">
        <v>-9.5</v>
      </c>
      <c r="Z18" s="124">
        <v>0.5</v>
      </c>
      <c r="AA18" s="124">
        <v>4.0999999999999996</v>
      </c>
      <c r="AB18" s="124">
        <v>-2.1</v>
      </c>
      <c r="AC18" s="124">
        <v>10.199999999999999</v>
      </c>
      <c r="AD18" s="124">
        <v>-3.1</v>
      </c>
      <c r="AE18" s="124">
        <v>-2.5</v>
      </c>
      <c r="AF18" s="124">
        <v>4.5</v>
      </c>
      <c r="AG18" s="124">
        <v>5</v>
      </c>
      <c r="AH18" s="123">
        <v>-5.5</v>
      </c>
      <c r="AI18" s="126">
        <v>8.5</v>
      </c>
      <c r="AJ18" s="128">
        <v>7.2</v>
      </c>
      <c r="AK18" s="128">
        <v>-2.5</v>
      </c>
      <c r="AL18" s="123">
        <v>1.2</v>
      </c>
      <c r="AM18" s="124">
        <v>1.99999999999889</v>
      </c>
      <c r="AN18" s="123">
        <v>-8</v>
      </c>
      <c r="AO18" s="125">
        <v>7.3</v>
      </c>
      <c r="AP18" s="126">
        <v>5.9</v>
      </c>
      <c r="AQ18" s="122">
        <v>-0.4</v>
      </c>
      <c r="AR18" s="125">
        <v>1.2</v>
      </c>
      <c r="AS18" s="125">
        <v>3.2</v>
      </c>
      <c r="AT18" s="125">
        <v>0.3</v>
      </c>
      <c r="AU18" s="125">
        <v>-3.9</v>
      </c>
      <c r="AV18" s="125">
        <v>-0.1</v>
      </c>
      <c r="AW18" s="125">
        <v>0.7</v>
      </c>
      <c r="AX18" s="125">
        <v>3.6</v>
      </c>
      <c r="AY18" s="125">
        <v>-3.2</v>
      </c>
      <c r="AZ18" s="139" t="s">
        <v>1069</v>
      </c>
      <c r="BA18" s="121">
        <v>-1.7</v>
      </c>
      <c r="BB18" s="135" t="s">
        <v>1069</v>
      </c>
      <c r="BC18" s="122">
        <v>-0.1</v>
      </c>
      <c r="BD18" s="125">
        <f ca="1">INDIRECT(ADDRESS(MATCH($B18,'【別紙1】標高（入力）'!$B:$B,0),'【別紙1】標高（入力）'!AD$2,4,TRUE,"【別紙1】標高（入力）"))</f>
        <v>0.70000000000014495</v>
      </c>
      <c r="BE18" s="139" t="s">
        <v>1333</v>
      </c>
      <c r="BF18" s="121">
        <f ca="1">INDIRECT(ADDRESS(MATCH($B18,'【別紙1】標高（入力）'!$B:$B,0),'【別紙1】標高（入力）'!AF$2,4,TRUE,"【別紙1】標高（入力）"))</f>
        <v>2.1000000000004349</v>
      </c>
      <c r="BG18" s="125" t="str">
        <f ca="1">INDIRECT(ADDRESS(MATCH($B18,'【別紙1】標高（入力）'!$B:$B,0),'【別紙1】標高（入力）'!AG$2,4,TRUE,"【別紙1】標高（入力）"))</f>
        <v/>
      </c>
      <c r="BH18" s="122" t="str">
        <f ca="1">INDIRECT(ADDRESS(MATCH($B18,'【別紙1】標高（入力）'!$B:$B,0),'【別紙1】標高（入力）'!AH$2,4,TRUE,"【別紙1】標高（入力）"))</f>
        <v/>
      </c>
      <c r="BI18" s="624"/>
      <c r="BJ18" s="598" t="str">
        <f t="shared" ca="1" si="4"/>
        <v>-</v>
      </c>
      <c r="BK18" s="604">
        <f t="shared" ca="1" si="5"/>
        <v>124.29999999999949</v>
      </c>
      <c r="BL18" s="600" t="str">
        <f ca="1">INDIRECT(ADDRESS(MATCH($B18,'【別紙1】標高（入力）'!$B:$B,0),'【別紙1】標高（入力）'!$N$2,4,TRUE,"【別紙1】標高（入力）"))</f>
        <v>R2</v>
      </c>
      <c r="BM18" s="342">
        <f ca="1">INDIRECT(ADDRESS(MATCH($B18,'【別紙1】標高（入力）'!$B:$B,0),'【別紙1】標高（入力）'!$O$2,4,TRUE,"【別紙1】標高（入力）"))</f>
        <v>11.536899999999999</v>
      </c>
      <c r="BN18" s="392"/>
    </row>
    <row r="19" spans="1:66" ht="15.95" customHeight="1">
      <c r="A19" s="119">
        <v>204</v>
      </c>
      <c r="B19" s="107" t="s">
        <v>419</v>
      </c>
      <c r="C19" s="114" t="s">
        <v>38</v>
      </c>
      <c r="D19" s="110" t="s">
        <v>696</v>
      </c>
      <c r="E19" s="109" t="s">
        <v>46</v>
      </c>
      <c r="F19" s="111" t="s">
        <v>9</v>
      </c>
      <c r="G19" s="112" t="s">
        <v>19</v>
      </c>
      <c r="H19" s="112" t="s">
        <v>541</v>
      </c>
      <c r="I19" s="112" t="s">
        <v>539</v>
      </c>
      <c r="J19" s="112" t="s">
        <v>264</v>
      </c>
      <c r="K19" s="222"/>
      <c r="L19" s="136" t="s">
        <v>636</v>
      </c>
      <c r="M19" s="127">
        <v>83.4</v>
      </c>
      <c r="N19" s="124">
        <v>16.3</v>
      </c>
      <c r="O19" s="124">
        <v>10.7</v>
      </c>
      <c r="P19" s="124">
        <v>14.5</v>
      </c>
      <c r="Q19" s="124">
        <v>27.2</v>
      </c>
      <c r="R19" s="124">
        <v>15.7</v>
      </c>
      <c r="S19" s="123">
        <v>-8.9</v>
      </c>
      <c r="T19" s="415" t="s">
        <v>47</v>
      </c>
      <c r="U19" s="413" t="s">
        <v>47</v>
      </c>
      <c r="V19" s="127">
        <v>20.8</v>
      </c>
      <c r="W19" s="124">
        <v>41.1</v>
      </c>
      <c r="X19" s="124">
        <v>8.5</v>
      </c>
      <c r="Y19" s="124">
        <v>-5</v>
      </c>
      <c r="Z19" s="124">
        <v>-0.2</v>
      </c>
      <c r="AA19" s="124">
        <v>8.1999999999999993</v>
      </c>
      <c r="AB19" s="124">
        <v>10.9</v>
      </c>
      <c r="AC19" s="124">
        <v>22</v>
      </c>
      <c r="AD19" s="124">
        <v>-1.4</v>
      </c>
      <c r="AE19" s="124">
        <v>5.3</v>
      </c>
      <c r="AF19" s="124">
        <v>5.7</v>
      </c>
      <c r="AG19" s="124">
        <v>13.3</v>
      </c>
      <c r="AH19" s="123">
        <v>0</v>
      </c>
      <c r="AI19" s="126">
        <v>1.1000000000000001</v>
      </c>
      <c r="AJ19" s="128">
        <v>11.7</v>
      </c>
      <c r="AK19" s="128">
        <v>4.2</v>
      </c>
      <c r="AL19" s="123">
        <v>-3</v>
      </c>
      <c r="AM19" s="129" t="s">
        <v>1134</v>
      </c>
      <c r="AN19" s="123">
        <v>-1.7</v>
      </c>
      <c r="AO19" s="125">
        <v>9.4</v>
      </c>
      <c r="AP19" s="139" t="s">
        <v>636</v>
      </c>
      <c r="AQ19" s="122">
        <v>4.9000000000000004</v>
      </c>
      <c r="AR19" s="125">
        <v>0.8</v>
      </c>
      <c r="AS19" s="125">
        <v>3.3</v>
      </c>
      <c r="AT19" s="125">
        <v>2.1</v>
      </c>
      <c r="AU19" s="125">
        <v>-3.3</v>
      </c>
      <c r="AV19" s="125">
        <v>-2.6</v>
      </c>
      <c r="AW19" s="139" t="s">
        <v>1069</v>
      </c>
      <c r="AX19" s="122">
        <v>7</v>
      </c>
      <c r="AY19" s="125">
        <v>-4.5999999999999996</v>
      </c>
      <c r="AZ19" s="126">
        <v>0</v>
      </c>
      <c r="BA19" s="126">
        <v>-1.7</v>
      </c>
      <c r="BB19" s="126">
        <v>0.8</v>
      </c>
      <c r="BC19" s="122">
        <v>-0.1</v>
      </c>
      <c r="BD19" s="125">
        <f ca="1">INDIRECT(ADDRESS(MATCH($B19,'【別紙1】標高（入力）'!$B:$B,0),'【別紙1】標高（入力）'!AD$2,4,TRUE,"【別紙1】標高（入力）"))</f>
        <v>1.0999999999992127</v>
      </c>
      <c r="BE19" s="126">
        <f ca="1">INDIRECT(ADDRESS(MATCH($B19,'【別紙1】標高（入力）'!$B:$B,0),'【別紙1】標高（入力）'!AE$2,4,TRUE,"【別紙1】標高（入力）"))</f>
        <v>2.3999999999997357</v>
      </c>
      <c r="BF19" s="121">
        <f ca="1">INDIRECT(ADDRESS(MATCH($B19,'【別紙1】標高（入力）'!$B:$B,0),'【別紙1】標高（入力）'!AF$2,4,TRUE,"【別紙1】標高（入力）"))</f>
        <v>1.1000000000009891</v>
      </c>
      <c r="BG19" s="121">
        <f ca="1">INDIRECT(ADDRESS(MATCH($B19,'【別紙1】標高（入力）'!$B:$B,0),'【別紙1】標高（入力）'!AG$2,4,TRUE,"【別紙1】標高（入力）"))</f>
        <v>0</v>
      </c>
      <c r="BH19" s="125" t="str">
        <f ca="1">INDIRECT(ADDRESS(MATCH($B19,'【別紙1】標高（入力）'!$B:$B,0),'【別紙1】標高（入力）'!AH$2,4,TRUE,"【別紙1】標高（入力）"))</f>
        <v/>
      </c>
      <c r="BI19" s="624"/>
      <c r="BJ19" s="598" t="str">
        <f t="shared" ca="1" si="4"/>
        <v>-</v>
      </c>
      <c r="BK19" s="604">
        <f t="shared" ca="1" si="5"/>
        <v>320.99999999999994</v>
      </c>
      <c r="BL19" s="600" t="str">
        <f ca="1">INDIRECT(ADDRESS(MATCH($B19,'【別紙1】標高（入力）'!$B:$B,0),'【別紙1】標高（入力）'!$N$2,4,TRUE,"【別紙1】標高（入力）"))</f>
        <v>R3</v>
      </c>
      <c r="BM19" s="342">
        <f ca="1">INDIRECT(ADDRESS(MATCH($B19,'【別紙1】標高（入力）'!$B:$B,0),'【別紙1】標高（入力）'!$O$2,4,TRUE,"【別紙1】標高（入力）"))</f>
        <v>8.7067999999999994</v>
      </c>
      <c r="BN19" s="392" t="s">
        <v>1135</v>
      </c>
    </row>
    <row r="20" spans="1:66" ht="15.95" customHeight="1">
      <c r="A20" s="214">
        <v>205</v>
      </c>
      <c r="B20" s="215" t="s">
        <v>420</v>
      </c>
      <c r="C20" s="216" t="s">
        <v>38</v>
      </c>
      <c r="D20" s="217" t="s">
        <v>48</v>
      </c>
      <c r="E20" s="218" t="s">
        <v>49</v>
      </c>
      <c r="F20" s="219" t="s">
        <v>9</v>
      </c>
      <c r="G20" s="220" t="s">
        <v>19</v>
      </c>
      <c r="H20" s="220" t="s">
        <v>541</v>
      </c>
      <c r="I20" s="220" t="s">
        <v>539</v>
      </c>
      <c r="J20" s="220" t="s">
        <v>265</v>
      </c>
      <c r="K20" s="222"/>
      <c r="L20" s="233" t="s">
        <v>636</v>
      </c>
      <c r="M20" s="221">
        <v>49.3</v>
      </c>
      <c r="N20" s="222">
        <v>5.4</v>
      </c>
      <c r="O20" s="222">
        <v>6.1</v>
      </c>
      <c r="P20" s="222">
        <v>13.4</v>
      </c>
      <c r="Q20" s="222">
        <v>6.5</v>
      </c>
      <c r="R20" s="222">
        <v>6.5</v>
      </c>
      <c r="S20" s="222">
        <v>-4.4000000000000004</v>
      </c>
      <c r="T20" s="222">
        <v>2</v>
      </c>
      <c r="U20" s="222">
        <v>6.2</v>
      </c>
      <c r="V20" s="222">
        <v>9.3000000000000007</v>
      </c>
      <c r="W20" s="222">
        <v>13.9</v>
      </c>
      <c r="X20" s="222">
        <v>10</v>
      </c>
      <c r="Y20" s="222">
        <v>-1.2</v>
      </c>
      <c r="Z20" s="222">
        <v>7.7</v>
      </c>
      <c r="AA20" s="222">
        <v>3.8</v>
      </c>
      <c r="AB20" s="222">
        <v>4</v>
      </c>
      <c r="AC20" s="222">
        <v>10</v>
      </c>
      <c r="AD20" s="222">
        <v>0.8</v>
      </c>
      <c r="AE20" s="222">
        <v>3.4</v>
      </c>
      <c r="AF20" s="222">
        <v>4.0999999999999996</v>
      </c>
      <c r="AG20" s="222">
        <v>5.6</v>
      </c>
      <c r="AH20" s="224">
        <v>-1.9</v>
      </c>
      <c r="AI20" s="226">
        <v>0.6</v>
      </c>
      <c r="AJ20" s="223">
        <v>3.2</v>
      </c>
      <c r="AK20" s="223">
        <v>2.2999999999999998</v>
      </c>
      <c r="AL20" s="224">
        <v>0.7</v>
      </c>
      <c r="AM20" s="222">
        <v>9.99999999997669E-2</v>
      </c>
      <c r="AN20" s="224">
        <v>-1</v>
      </c>
      <c r="AO20" s="225">
        <v>5.7</v>
      </c>
      <c r="AP20" s="227" t="s">
        <v>636</v>
      </c>
      <c r="AQ20" s="228">
        <v>9.4</v>
      </c>
      <c r="AR20" s="225">
        <v>6.5</v>
      </c>
      <c r="AS20" s="225">
        <v>2.8</v>
      </c>
      <c r="AT20" s="225">
        <v>6.5</v>
      </c>
      <c r="AU20" s="225">
        <v>0.7</v>
      </c>
      <c r="AV20" s="225">
        <v>-1.6</v>
      </c>
      <c r="AW20" s="227" t="s">
        <v>1068</v>
      </c>
      <c r="AX20" s="228"/>
      <c r="AY20" s="228">
        <v>0.9</v>
      </c>
      <c r="AZ20" s="227" t="s">
        <v>1069</v>
      </c>
      <c r="BA20" s="228">
        <v>-2.1</v>
      </c>
      <c r="BB20" s="226">
        <v>-0.2</v>
      </c>
      <c r="BC20" s="227" t="s">
        <v>1069</v>
      </c>
      <c r="BD20" s="228">
        <f ca="1">INDIRECT(ADDRESS(MATCH($B20,'【別紙1】標高（入力）'!$B:$B,0),'【別紙1】標高（入力）'!AD$2,4,TRUE,"【別紙1】標高（入力）"))</f>
        <v>2.3999999999997357</v>
      </c>
      <c r="BE20" s="227" t="s">
        <v>1333</v>
      </c>
      <c r="BF20" s="229">
        <f ca="1">INDIRECT(ADDRESS(MATCH($B20,'【別紙1】標高（入力）'!$B:$B,0),'【別紙1】標高（入力）'!AF$2,4,TRUE,"【別紙1】標高（入力）"))</f>
        <v>1.200000000000756</v>
      </c>
      <c r="BG20" s="225" t="str">
        <f ca="1">INDIRECT(ADDRESS(MATCH($B20,'【別紙1】標高（入力）'!$B:$B,0),'【別紙1】標高（入力）'!AG$2,4,TRUE,"【別紙1】標高（入力）"))</f>
        <v/>
      </c>
      <c r="BH20" s="228" t="str">
        <f ca="1">INDIRECT(ADDRESS(MATCH($B20,'【別紙1】標高（入力）'!$B:$B,0),'【別紙1】標高（入力）'!AH$2,4,TRUE,"【別紙1】標高（入力）"))</f>
        <v/>
      </c>
      <c r="BI20" s="625"/>
      <c r="BJ20" s="598" t="str">
        <f t="shared" ca="1" si="4"/>
        <v>-</v>
      </c>
      <c r="BK20" s="604">
        <f t="shared" ca="1" si="5"/>
        <v>198.60000000000028</v>
      </c>
      <c r="BL20" s="601" t="str">
        <f ca="1">INDIRECT(ADDRESS(MATCH($B20,'【別紙1】標高（入力）'!$B:$B,0),'【別紙1】標高（入力）'!$N$2,4,TRUE,"【別紙1】標高（入力）"))</f>
        <v>R2</v>
      </c>
      <c r="BM20" s="343">
        <f ca="1">INDIRECT(ADDRESS(MATCH($B20,'【別紙1】標高（入力）'!$B:$B,0),'【別紙1】標高（入力）'!$O$2,4,TRUE,"【別紙1】標高（入力）"))</f>
        <v>9.6671999999999993</v>
      </c>
      <c r="BN20" s="393" t="s">
        <v>1375</v>
      </c>
    </row>
    <row r="21" spans="1:66" ht="15.95" customHeight="1">
      <c r="A21" s="119">
        <v>206</v>
      </c>
      <c r="B21" s="107" t="s">
        <v>422</v>
      </c>
      <c r="C21" s="114" t="s">
        <v>38</v>
      </c>
      <c r="D21" s="110" t="s">
        <v>578</v>
      </c>
      <c r="E21" s="109" t="s">
        <v>51</v>
      </c>
      <c r="F21" s="111" t="s">
        <v>9</v>
      </c>
      <c r="G21" s="112" t="s">
        <v>19</v>
      </c>
      <c r="H21" s="112" t="s">
        <v>541</v>
      </c>
      <c r="I21" s="112" t="s">
        <v>539</v>
      </c>
      <c r="J21" s="112" t="s">
        <v>265</v>
      </c>
      <c r="K21" s="222"/>
      <c r="L21" s="136" t="s">
        <v>636</v>
      </c>
      <c r="M21" s="127">
        <v>74</v>
      </c>
      <c r="N21" s="124">
        <v>9.9</v>
      </c>
      <c r="O21" s="124">
        <v>4.5999999999999996</v>
      </c>
      <c r="P21" s="124">
        <v>15.7</v>
      </c>
      <c r="Q21" s="124">
        <v>21.9</v>
      </c>
      <c r="R21" s="124">
        <v>22.6</v>
      </c>
      <c r="S21" s="124">
        <v>-10.5</v>
      </c>
      <c r="T21" s="124">
        <v>16.399999999999999</v>
      </c>
      <c r="U21" s="124">
        <v>6.1</v>
      </c>
      <c r="V21" s="124">
        <v>5.6</v>
      </c>
      <c r="W21" s="124">
        <v>24.1</v>
      </c>
      <c r="X21" s="124">
        <v>2.9</v>
      </c>
      <c r="Y21" s="124">
        <v>-3.1</v>
      </c>
      <c r="Z21" s="124">
        <v>7</v>
      </c>
      <c r="AA21" s="124">
        <v>5.0999999999999996</v>
      </c>
      <c r="AB21" s="124">
        <v>1.6</v>
      </c>
      <c r="AC21" s="124">
        <v>4.7</v>
      </c>
      <c r="AD21" s="124">
        <v>0.6</v>
      </c>
      <c r="AE21" s="124">
        <v>0.3</v>
      </c>
      <c r="AF21" s="124">
        <v>1.8</v>
      </c>
      <c r="AG21" s="124">
        <v>3.9</v>
      </c>
      <c r="AH21" s="123">
        <v>-2.8</v>
      </c>
      <c r="AI21" s="126">
        <v>4.2</v>
      </c>
      <c r="AJ21" s="128">
        <v>2.4</v>
      </c>
      <c r="AK21" s="128">
        <v>0.4</v>
      </c>
      <c r="AL21" s="123">
        <v>0.2</v>
      </c>
      <c r="AM21" s="124">
        <v>-0.19999999999953399</v>
      </c>
      <c r="AN21" s="123">
        <v>-2.4</v>
      </c>
      <c r="AO21" s="125">
        <v>4.5</v>
      </c>
      <c r="AP21" s="139" t="s">
        <v>636</v>
      </c>
      <c r="AQ21" s="122">
        <v>4</v>
      </c>
      <c r="AR21" s="125">
        <v>0.2</v>
      </c>
      <c r="AS21" s="125">
        <v>1.4</v>
      </c>
      <c r="AT21" s="125">
        <v>1.8</v>
      </c>
      <c r="AU21" s="125">
        <v>-3.4</v>
      </c>
      <c r="AV21" s="125">
        <v>-2.2000000000000002</v>
      </c>
      <c r="AW21" s="139" t="s">
        <v>1068</v>
      </c>
      <c r="AX21" s="122"/>
      <c r="AY21" s="122">
        <v>-3.2</v>
      </c>
      <c r="AZ21" s="139" t="s">
        <v>1069</v>
      </c>
      <c r="BA21" s="122">
        <v>-2.8</v>
      </c>
      <c r="BB21" s="126">
        <v>0</v>
      </c>
      <c r="BC21" s="139" t="s">
        <v>1069</v>
      </c>
      <c r="BD21" s="122">
        <f ca="1">INDIRECT(ADDRESS(MATCH($B21,'【別紙1】標高（入力）'!$B:$B,0),'【別紙1】標高（入力）'!AD$2,4,TRUE,"【別紙1】標高（入力）"))</f>
        <v>1.5000000000000568</v>
      </c>
      <c r="BE21" s="139" t="s">
        <v>1333</v>
      </c>
      <c r="BF21" s="121">
        <f ca="1">INDIRECT(ADDRESS(MATCH($B21,'【別紙1】標高（入力）'!$B:$B,0),'【別紙1】標高（入力）'!AF$2,4,TRUE,"【別紙1】標高（入力）"))</f>
        <v>-2.5999999999992696</v>
      </c>
      <c r="BG21" s="121">
        <f ca="1">INDIRECT(ADDRESS(MATCH($B21,'【別紙1】標高（入力）'!$B:$B,0),'【別紙1】標高（入力）'!AG$2,4,TRUE,"【別紙1】標高（入力）"))</f>
        <v>1.0999999999992127</v>
      </c>
      <c r="BH21" s="125" t="str">
        <f ca="1">INDIRECT(ADDRESS(MATCH($B21,'【別紙1】標高（入力）'!$B:$B,0),'【別紙1】標高（入力）'!AH$2,4,TRUE,"【別紙1】標高（入力）"))</f>
        <v/>
      </c>
      <c r="BI21" s="567"/>
      <c r="BJ21" s="598" t="str">
        <f t="shared" ca="1" si="4"/>
        <v>-</v>
      </c>
      <c r="BK21" s="604">
        <f t="shared" ca="1" si="5"/>
        <v>217.30000000000047</v>
      </c>
      <c r="BL21" s="600" t="str">
        <f ca="1">INDIRECT(ADDRESS(MATCH($B21,'【別紙1】標高（入力）'!$B:$B,0),'【別紙1】標高（入力）'!$N$2,4,TRUE,"【別紙1】標高（入力）"))</f>
        <v>R3</v>
      </c>
      <c r="BM21" s="342">
        <f ca="1">INDIRECT(ADDRESS(MATCH($B21,'【別紙1】標高（入力）'!$B:$B,0),'【別紙1】標高（入力）'!$O$2,4,TRUE,"【別紙1】標高（入力）"))</f>
        <v>8.7611000000000008</v>
      </c>
      <c r="BN21" s="392"/>
    </row>
    <row r="22" spans="1:66" ht="15.95" customHeight="1">
      <c r="A22" s="119">
        <v>207</v>
      </c>
      <c r="B22" s="107" t="s">
        <v>1170</v>
      </c>
      <c r="C22" s="114" t="s">
        <v>38</v>
      </c>
      <c r="D22" s="110" t="s">
        <v>665</v>
      </c>
      <c r="E22" s="109" t="s">
        <v>53</v>
      </c>
      <c r="F22" s="111" t="s">
        <v>9</v>
      </c>
      <c r="G22" s="112" t="s">
        <v>19</v>
      </c>
      <c r="H22" s="112" t="s">
        <v>541</v>
      </c>
      <c r="I22" s="112" t="s">
        <v>54</v>
      </c>
      <c r="J22" s="112" t="s">
        <v>265</v>
      </c>
      <c r="K22" s="222"/>
      <c r="L22" s="124">
        <v>46.1</v>
      </c>
      <c r="M22" s="124">
        <v>4.7</v>
      </c>
      <c r="N22" s="124">
        <v>38.4</v>
      </c>
      <c r="O22" s="124">
        <v>14.2</v>
      </c>
      <c r="P22" s="124">
        <v>20.5</v>
      </c>
      <c r="Q22" s="124">
        <v>26.6</v>
      </c>
      <c r="R22" s="124">
        <v>31.8</v>
      </c>
      <c r="S22" s="124">
        <v>-12.2</v>
      </c>
      <c r="T22" s="124">
        <v>33.9</v>
      </c>
      <c r="U22" s="124">
        <v>9.8000000000000007</v>
      </c>
      <c r="V22" s="123">
        <v>35.700000000000003</v>
      </c>
      <c r="W22" s="411" t="s">
        <v>1270</v>
      </c>
      <c r="X22" s="127">
        <v>14.7</v>
      </c>
      <c r="Y22" s="124">
        <v>7.9</v>
      </c>
      <c r="Z22" s="124">
        <v>3.5</v>
      </c>
      <c r="AA22" s="124">
        <v>15.4</v>
      </c>
      <c r="AB22" s="124">
        <v>-1.8</v>
      </c>
      <c r="AC22" s="124">
        <v>13.9</v>
      </c>
      <c r="AD22" s="124">
        <v>-2.2000000000000002</v>
      </c>
      <c r="AE22" s="124">
        <v>2.9</v>
      </c>
      <c r="AF22" s="124">
        <v>3.9</v>
      </c>
      <c r="AG22" s="124">
        <v>4.3</v>
      </c>
      <c r="AH22" s="123">
        <v>0.2</v>
      </c>
      <c r="AI22" s="126">
        <v>13.8</v>
      </c>
      <c r="AJ22" s="128">
        <v>-10.3</v>
      </c>
      <c r="AK22" s="128">
        <v>7.7</v>
      </c>
      <c r="AL22" s="123">
        <v>-2.2000000000000002</v>
      </c>
      <c r="AM22" s="124">
        <v>3.8999999999997899</v>
      </c>
      <c r="AN22" s="123">
        <v>-2.8</v>
      </c>
      <c r="AO22" s="125">
        <v>2.5</v>
      </c>
      <c r="AP22" s="126">
        <v>8.8000000000000007</v>
      </c>
      <c r="AQ22" s="122">
        <v>-0.1</v>
      </c>
      <c r="AR22" s="125">
        <v>3.9</v>
      </c>
      <c r="AS22" s="125">
        <v>0.1</v>
      </c>
      <c r="AT22" s="139" t="s">
        <v>652</v>
      </c>
      <c r="AU22" s="122"/>
      <c r="AV22" s="122"/>
      <c r="AW22" s="122">
        <v>-1.8</v>
      </c>
      <c r="AX22" s="125">
        <v>7.5</v>
      </c>
      <c r="AY22" s="139" t="s">
        <v>1069</v>
      </c>
      <c r="AZ22" s="121">
        <v>-6.7</v>
      </c>
      <c r="BA22" s="458" t="s">
        <v>1069</v>
      </c>
      <c r="BB22" s="121">
        <v>-2.6</v>
      </c>
      <c r="BC22" s="122">
        <v>2</v>
      </c>
      <c r="BD22" s="139" t="s">
        <v>1069</v>
      </c>
      <c r="BE22" s="121">
        <f ca="1">INDIRECT(ADDRESS(MATCH($B22,'【別紙1】標高（入力）'!$B:$B,0),'【別紙1】標高（入力）'!AE$2,4,TRUE,"【別紙1】標高（入力）"))</f>
        <v>3.4000000000000696</v>
      </c>
      <c r="BF22" s="139" t="s">
        <v>1333</v>
      </c>
      <c r="BG22" s="121">
        <f ca="1">INDIRECT(ADDRESS(MATCH($B22,'【別紙1】標高（入力）'!$B:$B,0),'【別紙1】標高（入力）'!AG$2,4,TRUE,"【別紙1】標高（入力）"))</f>
        <v>5.9000000000004604</v>
      </c>
      <c r="BH22" s="126">
        <f ca="1">INDIRECT(ADDRESS(MATCH($B22,'【別紙1】標高（入力）'!$B:$B,0),'【別紙1】標高（入力）'!AH$2,4,TRUE,"【別紙1】標高（入力）"))</f>
        <v>-1.4000000000002899</v>
      </c>
      <c r="BI22" s="624"/>
      <c r="BJ22" s="598" t="str">
        <f t="shared" ca="1" si="4"/>
        <v>-</v>
      </c>
      <c r="BK22" s="604">
        <f t="shared" ca="1" si="5"/>
        <v>343.79999999999995</v>
      </c>
      <c r="BL22" s="600" t="str">
        <f ca="1">INDIRECT(ADDRESS(MATCH($B22,'【別紙1】標高（入力）'!$B:$B,0),'【別紙1】標高（入力）'!$N$2,4,TRUE,"【別紙1】標高（入力）"))</f>
        <v>R4</v>
      </c>
      <c r="BM22" s="342">
        <f ca="1">INDIRECT(ADDRESS(MATCH($B22,'【別紙1】標高（入力）'!$B:$B,0),'【別紙1】標高（入力）'!$O$2,4,TRUE,"【別紙1】標高（入力）"))</f>
        <v>4.8574000000000002</v>
      </c>
      <c r="BN22" s="392"/>
    </row>
    <row r="23" spans="1:66" ht="15.95" customHeight="1">
      <c r="A23" s="119">
        <v>208</v>
      </c>
      <c r="B23" s="107" t="s">
        <v>1171</v>
      </c>
      <c r="C23" s="114" t="s">
        <v>38</v>
      </c>
      <c r="D23" s="110" t="s">
        <v>678</v>
      </c>
      <c r="E23" s="109" t="s">
        <v>1404</v>
      </c>
      <c r="F23" s="111" t="s">
        <v>9</v>
      </c>
      <c r="G23" s="112" t="s">
        <v>10</v>
      </c>
      <c r="H23" s="112" t="s">
        <v>541</v>
      </c>
      <c r="I23" s="112" t="s">
        <v>54</v>
      </c>
      <c r="J23" s="112" t="s">
        <v>265</v>
      </c>
      <c r="K23" s="224"/>
      <c r="L23" s="228"/>
      <c r="M23" s="221"/>
      <c r="N23" s="136" t="s">
        <v>1273</v>
      </c>
      <c r="O23" s="122"/>
      <c r="P23" s="127">
        <v>59.2</v>
      </c>
      <c r="Q23" s="124">
        <v>21.2</v>
      </c>
      <c r="R23" s="124">
        <v>6.2</v>
      </c>
      <c r="S23" s="124">
        <v>-9.8000000000000007</v>
      </c>
      <c r="T23" s="124">
        <v>12.5</v>
      </c>
      <c r="U23" s="124">
        <v>11.3</v>
      </c>
      <c r="V23" s="124">
        <v>28.2</v>
      </c>
      <c r="W23" s="136" t="s">
        <v>679</v>
      </c>
      <c r="X23" s="122"/>
      <c r="Y23" s="122"/>
      <c r="Z23" s="122"/>
      <c r="AA23" s="122"/>
      <c r="AB23" s="122">
        <v>58.7</v>
      </c>
      <c r="AC23" s="411" t="s">
        <v>47</v>
      </c>
      <c r="AD23" s="127">
        <v>-0.1</v>
      </c>
      <c r="AE23" s="124">
        <v>7.9</v>
      </c>
      <c r="AF23" s="124">
        <v>8.6999999999999993</v>
      </c>
      <c r="AG23" s="124">
        <v>4</v>
      </c>
      <c r="AH23" s="123">
        <v>10.7</v>
      </c>
      <c r="AI23" s="126">
        <v>8.8000000000000007</v>
      </c>
      <c r="AJ23" s="128">
        <v>1.7</v>
      </c>
      <c r="AK23" s="128">
        <v>16.399999999999999</v>
      </c>
      <c r="AL23" s="123">
        <v>-2.2999999999999998</v>
      </c>
      <c r="AM23" s="136" t="s">
        <v>637</v>
      </c>
      <c r="AN23" s="121">
        <v>7.6</v>
      </c>
      <c r="AO23" s="125">
        <v>8.6999999999999993</v>
      </c>
      <c r="AP23" s="139" t="s">
        <v>636</v>
      </c>
      <c r="AQ23" s="122">
        <v>13.9</v>
      </c>
      <c r="AR23" s="139" t="s">
        <v>1072</v>
      </c>
      <c r="AS23" s="122"/>
      <c r="AT23" s="122"/>
      <c r="AU23" s="122"/>
      <c r="AV23" s="122"/>
      <c r="AW23" s="122">
        <v>12.8</v>
      </c>
      <c r="AX23" s="139" t="s">
        <v>1070</v>
      </c>
      <c r="AY23" s="122"/>
      <c r="AZ23" s="122"/>
      <c r="BA23" s="460"/>
      <c r="BB23" s="121">
        <v>-4.8</v>
      </c>
      <c r="BC23" s="139" t="s">
        <v>1070</v>
      </c>
      <c r="BD23" s="122" t="str">
        <f ca="1">INDIRECT(ADDRESS(MATCH($B23,'【別紙1】標高（入力）'!$B:$B,0),'【別紙1】標高（入力）'!AD$2,4,TRUE,"【別紙1】標高（入力）"))</f>
        <v/>
      </c>
      <c r="BE23" s="122" t="str">
        <f ca="1">INDIRECT(ADDRESS(MATCH($B23,'【別紙1】標高（入力）'!$B:$B,0),'【別紙1】標高（入力）'!AE$2,4,TRUE,"【別紙1】標高（入力）"))</f>
        <v/>
      </c>
      <c r="BF23" s="122" t="str">
        <f ca="1">INDIRECT(ADDRESS(MATCH($B23,'【別紙1】標高（入力）'!$B:$B,0),'【別紙1】標高（入力）'!AF$2,4,TRUE,"【別紙1】標高（入力）"))</f>
        <v/>
      </c>
      <c r="BG23" s="121">
        <f ca="1">INDIRECT(ADDRESS(MATCH($B23,'【別紙1】標高（入力）'!$B:$B,0),'【別紙1】標高（入力）'!AG$2,4,TRUE,"【別紙1】標高（入力）"))</f>
        <v>-1.1000000000001009</v>
      </c>
      <c r="BH23" s="125" t="str">
        <f ca="1">INDIRECT(ADDRESS(MATCH($B23,'【別紙1】標高（入力）'!$B:$B,0),'【別紙1】標高（入力）'!AH$2,4,TRUE,"【別紙1】標高（入力）"))</f>
        <v/>
      </c>
      <c r="BI23" s="624"/>
      <c r="BJ23" s="598" t="str">
        <f t="shared" ca="1" si="4"/>
        <v>-</v>
      </c>
      <c r="BK23" s="604">
        <f t="shared" ca="1" si="5"/>
        <v>280.39999999999986</v>
      </c>
      <c r="BL23" s="600" t="str">
        <f ca="1">INDIRECT(ADDRESS(MATCH($B23,'【別紙1】標高（入力）'!$B:$B,0),'【別紙1】標高（入力）'!$N$2,4,TRUE,"【別紙1】標高（入力）"))</f>
        <v>R3</v>
      </c>
      <c r="BM23" s="340">
        <f ca="1">INDIRECT(ADDRESS(MATCH($B23,'【別紙1】標高（入力）'!$B:$B,0),'【別紙1】標高（入力）'!$O$2,4,TRUE,"【別紙1】標高（入力）"))</f>
        <v>2.7118000000000002</v>
      </c>
      <c r="BN23" s="392"/>
    </row>
    <row r="24" spans="1:66" ht="15.95" customHeight="1">
      <c r="A24" s="119">
        <v>209</v>
      </c>
      <c r="B24" s="107" t="s">
        <v>361</v>
      </c>
      <c r="C24" s="114" t="s">
        <v>38</v>
      </c>
      <c r="D24" s="110" t="s">
        <v>566</v>
      </c>
      <c r="E24" s="597" t="s">
        <v>1405</v>
      </c>
      <c r="F24" s="111" t="s">
        <v>9</v>
      </c>
      <c r="G24" s="112" t="s">
        <v>10</v>
      </c>
      <c r="H24" s="112" t="s">
        <v>541</v>
      </c>
      <c r="I24" s="112" t="s">
        <v>54</v>
      </c>
      <c r="J24" s="112" t="s">
        <v>265</v>
      </c>
      <c r="K24" s="224"/>
      <c r="L24" s="228"/>
      <c r="M24" s="221"/>
      <c r="N24" s="124">
        <v>17.7</v>
      </c>
      <c r="O24" s="124">
        <v>12.7</v>
      </c>
      <c r="P24" s="124">
        <v>5.7</v>
      </c>
      <c r="Q24" s="124">
        <v>30.8</v>
      </c>
      <c r="R24" s="124">
        <v>15.1</v>
      </c>
      <c r="S24" s="124">
        <v>-20.2</v>
      </c>
      <c r="T24" s="124">
        <v>12.3</v>
      </c>
      <c r="U24" s="124">
        <v>2.6</v>
      </c>
      <c r="V24" s="124">
        <v>35</v>
      </c>
      <c r="W24" s="136" t="s">
        <v>679</v>
      </c>
      <c r="X24" s="122"/>
      <c r="Y24" s="122"/>
      <c r="Z24" s="122"/>
      <c r="AA24" s="122"/>
      <c r="AB24" s="122">
        <v>35.799999999999997</v>
      </c>
      <c r="AC24" s="411" t="s">
        <v>47</v>
      </c>
      <c r="AD24" s="127">
        <v>5.4</v>
      </c>
      <c r="AE24" s="124">
        <v>-2.7</v>
      </c>
      <c r="AF24" s="124">
        <v>4.9000000000000004</v>
      </c>
      <c r="AG24" s="124">
        <v>7</v>
      </c>
      <c r="AH24" s="123">
        <v>5.4</v>
      </c>
      <c r="AI24" s="126">
        <v>21.5</v>
      </c>
      <c r="AJ24" s="123">
        <v>3.5</v>
      </c>
      <c r="AK24" s="411" t="s">
        <v>300</v>
      </c>
      <c r="AL24" s="122">
        <v>0.5</v>
      </c>
      <c r="AM24" s="136" t="s">
        <v>637</v>
      </c>
      <c r="AN24" s="127">
        <v>21.3</v>
      </c>
      <c r="AO24" s="123">
        <v>19.7</v>
      </c>
      <c r="AP24" s="139" t="s">
        <v>636</v>
      </c>
      <c r="AQ24" s="122">
        <v>26.2</v>
      </c>
      <c r="AR24" s="139" t="s">
        <v>1072</v>
      </c>
      <c r="AS24" s="122"/>
      <c r="AT24" s="122"/>
      <c r="AU24" s="122"/>
      <c r="AV24" s="122"/>
      <c r="AW24" s="121">
        <v>54.1</v>
      </c>
      <c r="AX24" s="139" t="s">
        <v>1070</v>
      </c>
      <c r="AY24" s="122"/>
      <c r="AZ24" s="122"/>
      <c r="BA24" s="460"/>
      <c r="BB24" s="121">
        <v>5.3</v>
      </c>
      <c r="BC24" s="139" t="s">
        <v>1070</v>
      </c>
      <c r="BD24" s="122" t="str">
        <f ca="1">INDIRECT(ADDRESS(MATCH($B24,'【別紙1】標高（入力）'!$B:$B,0),'【別紙1】標高（入力）'!AD$2,4,TRUE,"【別紙1】標高（入力）"))</f>
        <v/>
      </c>
      <c r="BE24" s="122" t="str">
        <f ca="1">INDIRECT(ADDRESS(MATCH($B24,'【別紙1】標高（入力）'!$B:$B,0),'【別紙1】標高（入力）'!AE$2,4,TRUE,"【別紙1】標高（入力）"))</f>
        <v/>
      </c>
      <c r="BF24" s="122" t="str">
        <f ca="1">INDIRECT(ADDRESS(MATCH($B24,'【別紙1】標高（入力）'!$B:$B,0),'【別紙1】標高（入力）'!AF$2,4,TRUE,"【別紙1】標高（入力）"))</f>
        <v/>
      </c>
      <c r="BG24" s="121">
        <f ca="1">INDIRECT(ADDRESS(MATCH($B24,'【別紙1】標高（入力）'!$B:$B,0),'【別紙1】標高（入力）'!AG$2,4,TRUE,"【別紙1】標高（入力）"))</f>
        <v>2.1999999999997577</v>
      </c>
      <c r="BH24" s="634" t="s">
        <v>1550</v>
      </c>
      <c r="BI24" s="569">
        <f ca="1">INDIRECT(ADDRESS(MATCH($B24,'【別紙1】標高（入力）'!$B:$B,0),'【別紙1】標高（入力）'!AI$2,4,TRUE,"【別紙1】標高（入力）"))</f>
        <v>2.4999999999999467</v>
      </c>
      <c r="BJ24" s="598" t="str">
        <f t="shared" ca="1" si="4"/>
        <v>-</v>
      </c>
      <c r="BK24" s="604">
        <f t="shared" ca="1" si="5"/>
        <v>324.29999999999978</v>
      </c>
      <c r="BL24" s="600" t="str">
        <f ca="1">INDIRECT(ADDRESS(MATCH($B24,'【別紙1】標高（入力）'!$B:$B,0),'【別紙1】標高（入力）'!$N$2,4,TRUE,"【別紙1】標高（入力）"))</f>
        <v>R5</v>
      </c>
      <c r="BM24" s="340">
        <f ca="1">INDIRECT(ADDRESS(MATCH($B24,'【別紙1】標高（入力）'!$B:$B,0),'【別紙1】標高（入力）'!$O$2,4,TRUE,"【別紙1】標高（入力）"))</f>
        <v>3.0386000000000002</v>
      </c>
      <c r="BN24" s="392"/>
    </row>
    <row r="25" spans="1:66" ht="15.95" customHeight="1">
      <c r="A25" s="119">
        <v>210</v>
      </c>
      <c r="B25" s="107" t="s">
        <v>373</v>
      </c>
      <c r="C25" s="114" t="s">
        <v>38</v>
      </c>
      <c r="D25" s="110" t="s">
        <v>697</v>
      </c>
      <c r="E25" s="109" t="s">
        <v>57</v>
      </c>
      <c r="F25" s="111" t="s">
        <v>9</v>
      </c>
      <c r="G25" s="112" t="s">
        <v>19</v>
      </c>
      <c r="H25" s="112" t="s">
        <v>541</v>
      </c>
      <c r="I25" s="112" t="s">
        <v>539</v>
      </c>
      <c r="J25" s="112" t="s">
        <v>265</v>
      </c>
      <c r="K25" s="222"/>
      <c r="L25" s="136" t="s">
        <v>636</v>
      </c>
      <c r="M25" s="127">
        <v>38.799999999999997</v>
      </c>
      <c r="N25" s="124">
        <v>7.1</v>
      </c>
      <c r="O25" s="124">
        <v>4.9000000000000004</v>
      </c>
      <c r="P25" s="124">
        <v>10.4</v>
      </c>
      <c r="Q25" s="124">
        <v>4.8</v>
      </c>
      <c r="R25" s="124">
        <v>4.5</v>
      </c>
      <c r="S25" s="124">
        <v>-10.1</v>
      </c>
      <c r="T25" s="124">
        <v>7.3</v>
      </c>
      <c r="U25" s="129" t="s">
        <v>1279</v>
      </c>
      <c r="V25" s="124">
        <v>21.1</v>
      </c>
      <c r="W25" s="124">
        <v>17.399999999999999</v>
      </c>
      <c r="X25" s="124">
        <v>9.1999999999999993</v>
      </c>
      <c r="Y25" s="124">
        <v>3</v>
      </c>
      <c r="Z25" s="124">
        <v>6.6</v>
      </c>
      <c r="AA25" s="124">
        <v>10.6</v>
      </c>
      <c r="AB25" s="124">
        <v>-2.2000000000000002</v>
      </c>
      <c r="AC25" s="124">
        <v>9.6999999999999993</v>
      </c>
      <c r="AD25" s="124">
        <v>-0.3</v>
      </c>
      <c r="AE25" s="124">
        <v>0.2</v>
      </c>
      <c r="AF25" s="124">
        <v>4.3</v>
      </c>
      <c r="AG25" s="124">
        <v>2.2999999999999998</v>
      </c>
      <c r="AH25" s="123">
        <v>0.2</v>
      </c>
      <c r="AI25" s="126">
        <v>9</v>
      </c>
      <c r="AJ25" s="128">
        <v>-3</v>
      </c>
      <c r="AK25" s="128">
        <v>3.7</v>
      </c>
      <c r="AL25" s="123">
        <v>1</v>
      </c>
      <c r="AM25" s="124">
        <v>3.4999999999998401</v>
      </c>
      <c r="AN25" s="124">
        <v>-3.7</v>
      </c>
      <c r="AO25" s="123">
        <v>5.7</v>
      </c>
      <c r="AP25" s="126">
        <v>5.8</v>
      </c>
      <c r="AQ25" s="122">
        <v>-0.7</v>
      </c>
      <c r="AR25" s="125">
        <v>2</v>
      </c>
      <c r="AS25" s="125">
        <v>0.1</v>
      </c>
      <c r="AT25" s="139" t="s">
        <v>652</v>
      </c>
      <c r="AU25" s="122"/>
      <c r="AV25" s="122"/>
      <c r="AW25" s="122">
        <v>-1</v>
      </c>
      <c r="AX25" s="139" t="s">
        <v>1069</v>
      </c>
      <c r="AY25" s="122">
        <v>1.5</v>
      </c>
      <c r="AZ25" s="139" t="s">
        <v>1068</v>
      </c>
      <c r="BA25" s="460"/>
      <c r="BB25" s="121">
        <v>-4.5999999999999996</v>
      </c>
      <c r="BC25" s="139" t="s">
        <v>1069</v>
      </c>
      <c r="BD25" s="122">
        <f ca="1">INDIRECT(ADDRESS(MATCH($B25,'【別紙1】標高（入力）'!$B:$B,0),'【別紙1】標高（入力）'!AD$2,4,TRUE,"【別紙1】標高（入力）"))</f>
        <v>3.3000000000003027</v>
      </c>
      <c r="BE25" s="139" t="s">
        <v>1334</v>
      </c>
      <c r="BF25" s="122" t="str">
        <f ca="1">INDIRECT(ADDRESS(MATCH($B25,'【別紙1】標高（入力）'!$B:$B,0),'【別紙1】標高（入力）'!AF$2,4,TRUE,"【別紙1】標高（入力）"))</f>
        <v/>
      </c>
      <c r="BG25" s="121">
        <f ca="1">INDIRECT(ADDRESS(MATCH($B25,'【別紙1】標高（入力）'!$B:$B,0),'【別紙1】標高（入力）'!AG$2,4,TRUE,"【別紙1】標高（入力）"))</f>
        <v>2.0999999999995467</v>
      </c>
      <c r="BH25" s="125" t="str">
        <f ca="1">INDIRECT(ADDRESS(MATCH($B25,'【別紙1】標高（入力）'!$B:$B,0),'【別紙1】標高（入力）'!AH$2,4,TRUE,"【別紙1】標高（入力）"))</f>
        <v/>
      </c>
      <c r="BI25" s="624"/>
      <c r="BJ25" s="598" t="str">
        <f t="shared" ca="1" si="4"/>
        <v>-</v>
      </c>
      <c r="BK25" s="604">
        <f t="shared" ca="1" si="5"/>
        <v>174.49999999999969</v>
      </c>
      <c r="BL25" s="600" t="str">
        <f ca="1">INDIRECT(ADDRESS(MATCH($B25,'【別紙1】標高（入力）'!$B:$B,0),'【別紙1】標高（入力）'!$N$2,4,TRUE,"【別紙1】標高（入力）"))</f>
        <v>R3</v>
      </c>
      <c r="BM25" s="342">
        <f ca="1">INDIRECT(ADDRESS(MATCH($B25,'【別紙1】標高（入力）'!$B:$B,0),'【別紙1】標高（入力）'!$O$2,4,TRUE,"【別紙1】標高（入力）"))</f>
        <v>6.6867000000000001</v>
      </c>
      <c r="BN25" s="392"/>
    </row>
    <row r="26" spans="1:66" s="231" customFormat="1" ht="15.95" customHeight="1">
      <c r="A26" s="214">
        <v>211</v>
      </c>
      <c r="B26" s="215" t="s">
        <v>371</v>
      </c>
      <c r="C26" s="216" t="s">
        <v>38</v>
      </c>
      <c r="D26" s="217" t="s">
        <v>698</v>
      </c>
      <c r="E26" s="218" t="s">
        <v>59</v>
      </c>
      <c r="F26" s="219" t="s">
        <v>9</v>
      </c>
      <c r="G26" s="220" t="s">
        <v>19</v>
      </c>
      <c r="H26" s="220" t="s">
        <v>541</v>
      </c>
      <c r="I26" s="220" t="s">
        <v>539</v>
      </c>
      <c r="J26" s="220" t="s">
        <v>265</v>
      </c>
      <c r="K26" s="222"/>
      <c r="L26" s="136" t="s">
        <v>636</v>
      </c>
      <c r="M26" s="127">
        <v>79.599999999999994</v>
      </c>
      <c r="N26" s="124">
        <v>30.4</v>
      </c>
      <c r="O26" s="124">
        <v>18.5</v>
      </c>
      <c r="P26" s="124">
        <v>15.4</v>
      </c>
      <c r="Q26" s="124">
        <v>17.100000000000001</v>
      </c>
      <c r="R26" s="124">
        <v>9.8000000000000007</v>
      </c>
      <c r="S26" s="124">
        <v>-4.7</v>
      </c>
      <c r="T26" s="124">
        <v>6.3</v>
      </c>
      <c r="U26" s="124">
        <v>7.5</v>
      </c>
      <c r="V26" s="124">
        <v>10.1</v>
      </c>
      <c r="W26" s="124">
        <v>9.6999999999999993</v>
      </c>
      <c r="X26" s="124">
        <v>4.7</v>
      </c>
      <c r="Y26" s="124">
        <v>-0.7</v>
      </c>
      <c r="Z26" s="124">
        <v>2.5</v>
      </c>
      <c r="AA26" s="124">
        <v>10</v>
      </c>
      <c r="AB26" s="124">
        <v>-2.1</v>
      </c>
      <c r="AC26" s="124">
        <v>8</v>
      </c>
      <c r="AD26" s="124">
        <v>-1.1000000000000001</v>
      </c>
      <c r="AE26" s="124">
        <v>-0.7</v>
      </c>
      <c r="AF26" s="124">
        <v>3.7</v>
      </c>
      <c r="AG26" s="124">
        <v>1.3</v>
      </c>
      <c r="AH26" s="123">
        <v>1</v>
      </c>
      <c r="AI26" s="126">
        <v>9.8000000000000007</v>
      </c>
      <c r="AJ26" s="128">
        <v>-5</v>
      </c>
      <c r="AK26" s="128">
        <v>3.2</v>
      </c>
      <c r="AL26" s="123">
        <v>-0.2</v>
      </c>
      <c r="AM26" s="124">
        <v>3.4999999999998401</v>
      </c>
      <c r="AN26" s="124">
        <v>-3.8</v>
      </c>
      <c r="AO26" s="123">
        <v>4.4000000000000004</v>
      </c>
      <c r="AP26" s="126">
        <v>7.2</v>
      </c>
      <c r="AQ26" s="122">
        <v>-0.2</v>
      </c>
      <c r="AR26" s="125">
        <v>1.9</v>
      </c>
      <c r="AS26" s="125">
        <v>-0.5</v>
      </c>
      <c r="AT26" s="139" t="s">
        <v>652</v>
      </c>
      <c r="AU26" s="122"/>
      <c r="AV26" s="122"/>
      <c r="AW26" s="122">
        <v>-3.7</v>
      </c>
      <c r="AX26" s="225"/>
      <c r="AY26" s="228"/>
      <c r="AZ26" s="228"/>
      <c r="BA26" s="462"/>
      <c r="BB26" s="232"/>
      <c r="BC26" s="228"/>
      <c r="BD26" s="228"/>
      <c r="BE26" s="228"/>
      <c r="BF26" s="228"/>
      <c r="BG26" s="228"/>
      <c r="BH26" s="625"/>
      <c r="BI26" s="570"/>
      <c r="BJ26" s="599" t="str">
        <f t="shared" si="0"/>
        <v>-</v>
      </c>
      <c r="BK26" s="605">
        <f t="shared" si="1"/>
        <v>242.89999999999989</v>
      </c>
      <c r="BL26" s="601" t="str">
        <f ca="1">INDIRECT(ADDRESS(MATCH($B26,'【別紙1】標高（入力）'!$B:$B,0),'【別紙1】標高（入力）'!$N$2,4,TRUE,"【別紙1】標高（入力）"))</f>
        <v>H23</v>
      </c>
      <c r="BM26" s="343">
        <f ca="1">INDIRECT(ADDRESS(MATCH($B26,'【別紙1】標高（入力）'!$B:$B,0),'【別紙1】標高（入力）'!$O$2,4,TRUE,"【別紙1】標高（入力）"))</f>
        <v>5.6390000000000002</v>
      </c>
      <c r="BN26" s="393" t="s">
        <v>533</v>
      </c>
    </row>
    <row r="27" spans="1:66" ht="15.95" customHeight="1">
      <c r="A27" s="119">
        <v>212</v>
      </c>
      <c r="B27" s="107" t="s">
        <v>369</v>
      </c>
      <c r="C27" s="114" t="s">
        <v>38</v>
      </c>
      <c r="D27" s="110" t="s">
        <v>1198</v>
      </c>
      <c r="E27" s="109" t="s">
        <v>61</v>
      </c>
      <c r="F27" s="111" t="s">
        <v>9</v>
      </c>
      <c r="G27" s="112" t="s">
        <v>19</v>
      </c>
      <c r="H27" s="112" t="s">
        <v>541</v>
      </c>
      <c r="I27" s="112" t="s">
        <v>539</v>
      </c>
      <c r="J27" s="112" t="s">
        <v>265</v>
      </c>
      <c r="K27" s="222"/>
      <c r="L27" s="124">
        <v>21.7</v>
      </c>
      <c r="M27" s="124">
        <v>28.3</v>
      </c>
      <c r="N27" s="124">
        <v>11.7</v>
      </c>
      <c r="O27" s="124">
        <v>6.5</v>
      </c>
      <c r="P27" s="124">
        <v>12.8</v>
      </c>
      <c r="Q27" s="124">
        <v>9.6999999999999993</v>
      </c>
      <c r="R27" s="124">
        <v>7.7</v>
      </c>
      <c r="S27" s="124">
        <v>-5.6</v>
      </c>
      <c r="T27" s="124">
        <v>6.4</v>
      </c>
      <c r="U27" s="124">
        <v>7.7</v>
      </c>
      <c r="V27" s="124">
        <v>16.7</v>
      </c>
      <c r="W27" s="124">
        <v>6.2</v>
      </c>
      <c r="X27" s="124">
        <v>4.5999999999999996</v>
      </c>
      <c r="Y27" s="124">
        <v>1.1000000000000001</v>
      </c>
      <c r="Z27" s="124">
        <v>6.3</v>
      </c>
      <c r="AA27" s="124">
        <v>15</v>
      </c>
      <c r="AB27" s="124">
        <v>0.6</v>
      </c>
      <c r="AC27" s="124">
        <v>11.2</v>
      </c>
      <c r="AD27" s="124">
        <v>0.2</v>
      </c>
      <c r="AE27" s="124">
        <v>0.9</v>
      </c>
      <c r="AF27" s="124">
        <v>6.7</v>
      </c>
      <c r="AG27" s="124">
        <v>5.4</v>
      </c>
      <c r="AH27" s="123">
        <v>9</v>
      </c>
      <c r="AI27" s="126">
        <v>11.6</v>
      </c>
      <c r="AJ27" s="128">
        <v>-4.5</v>
      </c>
      <c r="AK27" s="128">
        <v>4.0999999999999996</v>
      </c>
      <c r="AL27" s="123">
        <v>1.7</v>
      </c>
      <c r="AM27" s="124">
        <v>4.5999999999999401</v>
      </c>
      <c r="AN27" s="124">
        <v>-1.2</v>
      </c>
      <c r="AO27" s="123">
        <v>5.2</v>
      </c>
      <c r="AP27" s="126">
        <v>8.1999999999999993</v>
      </c>
      <c r="AQ27" s="122">
        <v>2.2999999999999998</v>
      </c>
      <c r="AR27" s="125">
        <v>6.6</v>
      </c>
      <c r="AS27" s="125">
        <v>1.3</v>
      </c>
      <c r="AT27" s="139" t="s">
        <v>652</v>
      </c>
      <c r="AU27" s="122"/>
      <c r="AV27" s="122"/>
      <c r="AW27" s="122">
        <v>2.7</v>
      </c>
      <c r="AX27" s="139" t="s">
        <v>525</v>
      </c>
      <c r="AY27" s="122"/>
      <c r="AZ27" s="121">
        <v>3.2</v>
      </c>
      <c r="BA27" s="458" t="s">
        <v>1069</v>
      </c>
      <c r="BB27" s="121">
        <v>-1.9</v>
      </c>
      <c r="BC27" s="139" t="s">
        <v>1068</v>
      </c>
      <c r="BD27" s="122" t="str">
        <f ca="1">INDIRECT(ADDRESS(MATCH($B27,'【別紙1】標高（入力）'!$B:$B,0),'【別紙1】標高（入力）'!AD$2,4,TRUE,"【別紙1】標高（入力）"))</f>
        <v/>
      </c>
      <c r="BE27" s="121">
        <f ca="1">INDIRECT(ADDRESS(MATCH($B27,'【別紙1】標高（入力）'!$B:$B,0),'【別紙1】標高（入力）'!AE$2,4,TRUE,"【別紙1】標高（入力）"))</f>
        <v>2.8000000000005798</v>
      </c>
      <c r="BF27" s="139" t="s">
        <v>1333</v>
      </c>
      <c r="BG27" s="121">
        <f ca="1">INDIRECT(ADDRESS(MATCH($B27,'【別紙1】標高（入力）'!$B:$B,0),'【別紙1】標高（入力）'!AG$2,4,TRUE,"【別紙1】標高（入力）"))</f>
        <v>3.0000000000001137</v>
      </c>
      <c r="BH27" s="126">
        <f ca="1">INDIRECT(ADDRESS(MATCH($B27,'【別紙1】標高（入力）'!$B:$B,0),'【別紙1】標高（入力）'!AH$2,4,TRUE,"【別紙1】標高（入力）"))</f>
        <v>1.5999999999998238</v>
      </c>
      <c r="BI27" s="624"/>
      <c r="BJ27" s="598" t="str">
        <f t="shared" ref="BJ27:BJ31" ca="1" si="6">IF(AND(ISNUMBER(BI27)*1,ISNUMBER(BH27)*1),BI27,"-")</f>
        <v>-</v>
      </c>
      <c r="BK27" s="604">
        <f t="shared" ref="BK27:BK31" ca="1" si="7">SUM(K27:BI27)</f>
        <v>242.10000000000039</v>
      </c>
      <c r="BL27" s="600" t="str">
        <f ca="1">INDIRECT(ADDRESS(MATCH($B27,'【別紙1】標高（入力）'!$B:$B,0),'【別紙1】標高（入力）'!$N$2,4,TRUE,"【別紙1】標高（入力）"))</f>
        <v>R4</v>
      </c>
      <c r="BM27" s="342">
        <f ca="1">INDIRECT(ADDRESS(MATCH($B27,'【別紙1】標高（入力）'!$B:$B,0),'【別紙1】標高（入力）'!$O$2,4,TRUE,"【別紙1】標高（入力）"))</f>
        <v>5.4462999999999999</v>
      </c>
      <c r="BN27" s="392"/>
    </row>
    <row r="28" spans="1:66" ht="15.95" customHeight="1">
      <c r="A28" s="119">
        <v>213</v>
      </c>
      <c r="B28" s="107" t="s">
        <v>370</v>
      </c>
      <c r="C28" s="114" t="s">
        <v>38</v>
      </c>
      <c r="D28" s="110" t="s">
        <v>62</v>
      </c>
      <c r="E28" s="109" t="s">
        <v>63</v>
      </c>
      <c r="F28" s="111" t="s">
        <v>9</v>
      </c>
      <c r="G28" s="112" t="s">
        <v>19</v>
      </c>
      <c r="H28" s="112" t="s">
        <v>541</v>
      </c>
      <c r="I28" s="112" t="s">
        <v>539</v>
      </c>
      <c r="J28" s="112" t="s">
        <v>265</v>
      </c>
      <c r="K28" s="222"/>
      <c r="L28" s="124">
        <v>13.6</v>
      </c>
      <c r="M28" s="124">
        <v>59.1</v>
      </c>
      <c r="N28" s="124">
        <v>0.2</v>
      </c>
      <c r="O28" s="124">
        <v>2.7</v>
      </c>
      <c r="P28" s="124">
        <v>16.899999999999999</v>
      </c>
      <c r="Q28" s="124">
        <v>7.4</v>
      </c>
      <c r="R28" s="124">
        <v>8.6999999999999993</v>
      </c>
      <c r="S28" s="124">
        <v>8.9</v>
      </c>
      <c r="T28" s="124">
        <v>15.1</v>
      </c>
      <c r="U28" s="124">
        <v>8</v>
      </c>
      <c r="V28" s="124">
        <v>21</v>
      </c>
      <c r="W28" s="124">
        <v>10.3</v>
      </c>
      <c r="X28" s="124">
        <v>1.9</v>
      </c>
      <c r="Y28" s="136" t="s">
        <v>652</v>
      </c>
      <c r="Z28" s="122"/>
      <c r="AA28" s="122"/>
      <c r="AB28" s="127">
        <v>8.3000000000000007</v>
      </c>
      <c r="AC28" s="124">
        <v>9.1</v>
      </c>
      <c r="AD28" s="124">
        <v>-2.8</v>
      </c>
      <c r="AE28" s="124">
        <v>0.7</v>
      </c>
      <c r="AF28" s="124">
        <v>3.6</v>
      </c>
      <c r="AG28" s="123"/>
      <c r="AH28" s="411" t="s">
        <v>47</v>
      </c>
      <c r="AI28" s="121">
        <v>10.199999999999999</v>
      </c>
      <c r="AJ28" s="128">
        <v>-3.4</v>
      </c>
      <c r="AK28" s="128">
        <v>3.7</v>
      </c>
      <c r="AL28" s="123">
        <v>0.5</v>
      </c>
      <c r="AM28" s="136" t="s">
        <v>637</v>
      </c>
      <c r="AN28" s="121">
        <v>-1</v>
      </c>
      <c r="AO28" s="139" t="s">
        <v>1068</v>
      </c>
      <c r="AP28" s="122"/>
      <c r="AQ28" s="122">
        <v>12.5</v>
      </c>
      <c r="AR28" s="139" t="s">
        <v>1072</v>
      </c>
      <c r="AS28" s="122"/>
      <c r="AT28" s="122"/>
      <c r="AU28" s="122"/>
      <c r="AV28" s="122"/>
      <c r="AW28" s="122">
        <v>3.1</v>
      </c>
      <c r="AX28" s="139" t="s">
        <v>525</v>
      </c>
      <c r="AY28" s="122"/>
      <c r="AZ28" s="121">
        <v>-1.6</v>
      </c>
      <c r="BA28" s="458" t="s">
        <v>1070</v>
      </c>
      <c r="BB28" s="122"/>
      <c r="BC28" s="122"/>
      <c r="BD28" s="122" t="str">
        <f ca="1">INDIRECT(ADDRESS(MATCH($B28,'【別紙1】標高（入力）'!$B:$B,0),'【別紙1】標高（入力）'!AD$2,4,TRUE,"【別紙1】標高（入力）"))</f>
        <v/>
      </c>
      <c r="BE28" s="121">
        <f ca="1">INDIRECT(ADDRESS(MATCH($B28,'【別紙1】標高（入力）'!$B:$B,0),'【別紙1】標高（入力）'!AE$2,4,TRUE,"【別紙1】標高（入力）"))</f>
        <v>57.199999999999918</v>
      </c>
      <c r="BF28" s="135" t="s">
        <v>1381</v>
      </c>
      <c r="BG28" s="122" t="str">
        <f ca="1">INDIRECT(ADDRESS(MATCH($B28,'【別紙1】標高（入力）'!$B:$B,0),'【別紙1】標高（入力）'!AG$2,4,TRUE,"【別紙1】標高（入力）"))</f>
        <v/>
      </c>
      <c r="BH28" s="121">
        <f ca="1">INDIRECT(ADDRESS(MATCH($B28,'【別紙1】標高（入力）'!$B:$B,0),'【別紙1】標高（入力）'!AH$2,4,TRUE,"【別紙1】標高（入力）"))</f>
        <v>2.2999999999999687</v>
      </c>
      <c r="BI28" s="624"/>
      <c r="BJ28" s="598" t="str">
        <f t="shared" ca="1" si="6"/>
        <v>-</v>
      </c>
      <c r="BK28" s="604">
        <f t="shared" ca="1" si="7"/>
        <v>276.19999999999987</v>
      </c>
      <c r="BL28" s="600" t="str">
        <f ca="1">INDIRECT(ADDRESS(MATCH($B28,'【別紙1】標高（入力）'!$B:$B,0),'【別紙1】標高（入力）'!$N$2,4,TRUE,"【別紙1】標高（入力）"))</f>
        <v>R4</v>
      </c>
      <c r="BM28" s="340">
        <f ca="1">INDIRECT(ADDRESS(MATCH($B28,'【別紙1】標高（入力）'!$B:$B,0),'【別紙1】標高（入力）'!$O$2,4,TRUE,"【別紙1】標高（入力）"))</f>
        <v>4.7294999999999998</v>
      </c>
      <c r="BN28" s="392"/>
    </row>
    <row r="29" spans="1:66" ht="15.95" customHeight="1">
      <c r="A29" s="119">
        <v>214</v>
      </c>
      <c r="B29" s="107" t="s">
        <v>1172</v>
      </c>
      <c r="C29" s="114" t="s">
        <v>38</v>
      </c>
      <c r="D29" s="110" t="s">
        <v>680</v>
      </c>
      <c r="E29" s="109" t="s">
        <v>1406</v>
      </c>
      <c r="F29" s="111" t="s">
        <v>9</v>
      </c>
      <c r="G29" s="112" t="s">
        <v>255</v>
      </c>
      <c r="H29" s="112" t="s">
        <v>720</v>
      </c>
      <c r="I29" s="112" t="s">
        <v>539</v>
      </c>
      <c r="J29" s="112" t="s">
        <v>265</v>
      </c>
      <c r="K29" s="224"/>
      <c r="L29" s="228"/>
      <c r="M29" s="221"/>
      <c r="N29" s="124">
        <v>5.3</v>
      </c>
      <c r="O29" s="136" t="s">
        <v>636</v>
      </c>
      <c r="P29" s="127">
        <v>13.9</v>
      </c>
      <c r="Q29" s="124">
        <v>3.6</v>
      </c>
      <c r="R29" s="124">
        <v>1.3</v>
      </c>
      <c r="S29" s="124">
        <v>-5.8</v>
      </c>
      <c r="T29" s="124">
        <v>6.3</v>
      </c>
      <c r="U29" s="136" t="s">
        <v>636</v>
      </c>
      <c r="V29" s="127">
        <v>11.1</v>
      </c>
      <c r="W29" s="224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9"/>
      <c r="AI29" s="138" t="s">
        <v>260</v>
      </c>
      <c r="AJ29" s="228"/>
      <c r="AK29" s="228"/>
      <c r="AL29" s="228"/>
      <c r="AM29" s="228"/>
      <c r="AN29" s="138" t="s">
        <v>256</v>
      </c>
      <c r="AO29" s="122">
        <v>4.5999999999999996</v>
      </c>
      <c r="AP29" s="139" t="s">
        <v>636</v>
      </c>
      <c r="AQ29" s="122">
        <v>9.1999999999999993</v>
      </c>
      <c r="AR29" s="139" t="s">
        <v>1072</v>
      </c>
      <c r="AS29" s="122"/>
      <c r="AT29" s="122"/>
      <c r="AU29" s="122"/>
      <c r="AV29" s="122"/>
      <c r="AW29" s="122">
        <v>10.7</v>
      </c>
      <c r="AX29" s="125">
        <v>8.4</v>
      </c>
      <c r="AY29" s="139" t="s">
        <v>1071</v>
      </c>
      <c r="AZ29" s="122"/>
      <c r="BA29" s="460"/>
      <c r="BB29" s="121">
        <v>-7.6</v>
      </c>
      <c r="BC29" s="122">
        <v>-1</v>
      </c>
      <c r="BD29" s="139" t="s">
        <v>1337</v>
      </c>
      <c r="BE29" s="122" t="str">
        <f ca="1">INDIRECT(ADDRESS(MATCH($B29,'【別紙1】標高（入力）'!$B:$B,0),'【別紙1】標高（入力）'!AE$2,4,TRUE,"【別紙1】標高（入力）"))</f>
        <v/>
      </c>
      <c r="BF29" s="122" t="str">
        <f ca="1">INDIRECT(ADDRESS(MATCH($B29,'【別紙1】標高（入力）'!$B:$B,0),'【別紙1】標高（入力）'!AF$2,4,TRUE,"【別紙1】標高（入力）"))</f>
        <v/>
      </c>
      <c r="BG29" s="121">
        <f ca="1">INDIRECT(ADDRESS(MATCH($B29,'【別紙1】標高（入力）'!$B:$B,0),'【別紙1】標高（入力）'!AG$2,4,TRUE,"【別紙1】標高（入力）"))</f>
        <v>-9.3999999999994088</v>
      </c>
      <c r="BH29" s="634" t="s">
        <v>1550</v>
      </c>
      <c r="BI29" s="568">
        <f ca="1">INDIRECT(ADDRESS(MATCH($B29,'【別紙1】標高（入力）'!$B:$B,0),'【別紙1】標高（入力）'!AI$2,4,TRUE,"【別紙1】標高（入力）"))</f>
        <v>0.49999999999972289</v>
      </c>
      <c r="BJ29" s="598" t="str">
        <f t="shared" ca="1" si="6"/>
        <v>-</v>
      </c>
      <c r="BK29" s="604">
        <f t="shared" ca="1" si="7"/>
        <v>51.100000000000321</v>
      </c>
      <c r="BL29" s="600" t="str">
        <f ca="1">INDIRECT(ADDRESS(MATCH($B29,'【別紙1】標高（入力）'!$B:$B,0),'【別紙1】標高（入力）'!$N$2,4,TRUE,"【別紙1】標高（入力）"))</f>
        <v>R5</v>
      </c>
      <c r="BM29" s="340">
        <f ca="1">INDIRECT(ADDRESS(MATCH($B29,'【別紙1】標高（入力）'!$B:$B,0),'【別紙1】標高（入力）'!$O$2,4,TRUE,"【別紙1】標高（入力）"))</f>
        <v>4.8742000000000001</v>
      </c>
      <c r="BN29" s="392"/>
    </row>
    <row r="30" spans="1:66" ht="15.95" customHeight="1">
      <c r="A30" s="119">
        <v>215</v>
      </c>
      <c r="B30" s="107" t="s">
        <v>400</v>
      </c>
      <c r="C30" s="114" t="s">
        <v>38</v>
      </c>
      <c r="D30" s="110" t="s">
        <v>653</v>
      </c>
      <c r="E30" s="597" t="s">
        <v>1407</v>
      </c>
      <c r="F30" s="111" t="s">
        <v>9</v>
      </c>
      <c r="G30" s="112" t="s">
        <v>19</v>
      </c>
      <c r="H30" s="112" t="s">
        <v>541</v>
      </c>
      <c r="I30" s="112" t="s">
        <v>54</v>
      </c>
      <c r="J30" s="112" t="s">
        <v>265</v>
      </c>
      <c r="K30" s="222"/>
      <c r="L30" s="124">
        <v>45.3</v>
      </c>
      <c r="M30" s="124">
        <v>33.4</v>
      </c>
      <c r="N30" s="124">
        <v>30.2</v>
      </c>
      <c r="O30" s="136" t="s">
        <v>636</v>
      </c>
      <c r="P30" s="127">
        <v>46.1</v>
      </c>
      <c r="Q30" s="124">
        <v>19.8</v>
      </c>
      <c r="R30" s="124">
        <v>18.8</v>
      </c>
      <c r="S30" s="124">
        <v>-2.2000000000000002</v>
      </c>
      <c r="T30" s="124">
        <v>12.5</v>
      </c>
      <c r="U30" s="124">
        <v>4</v>
      </c>
      <c r="V30" s="124">
        <v>16</v>
      </c>
      <c r="W30" s="124">
        <v>19.100000000000001</v>
      </c>
      <c r="X30" s="124">
        <v>9.1999999999999993</v>
      </c>
      <c r="Y30" s="136" t="s">
        <v>652</v>
      </c>
      <c r="Z30" s="122"/>
      <c r="AA30" s="122"/>
      <c r="AB30" s="127">
        <v>11.5</v>
      </c>
      <c r="AC30" s="136" t="s">
        <v>1273</v>
      </c>
      <c r="AD30" s="122"/>
      <c r="AE30" s="127">
        <v>15.5</v>
      </c>
      <c r="AF30" s="136" t="s">
        <v>1273</v>
      </c>
      <c r="AG30" s="122"/>
      <c r="AH30" s="122">
        <v>18.5</v>
      </c>
      <c r="AI30" s="139" t="s">
        <v>525</v>
      </c>
      <c r="AJ30" s="122"/>
      <c r="AK30" s="127">
        <v>11.8</v>
      </c>
      <c r="AL30" s="135" t="s">
        <v>525</v>
      </c>
      <c r="AM30" s="122"/>
      <c r="AN30" s="122">
        <v>3.3</v>
      </c>
      <c r="AO30" s="126">
        <v>8.1</v>
      </c>
      <c r="AP30" s="139" t="s">
        <v>636</v>
      </c>
      <c r="AQ30" s="122">
        <v>6.1</v>
      </c>
      <c r="AR30" s="125">
        <v>1</v>
      </c>
      <c r="AS30" s="139" t="s">
        <v>1070</v>
      </c>
      <c r="AT30" s="122"/>
      <c r="AU30" s="122"/>
      <c r="AV30" s="122"/>
      <c r="AW30" s="122">
        <v>5.5</v>
      </c>
      <c r="AX30" s="125">
        <v>7.3</v>
      </c>
      <c r="AY30" s="139" t="s">
        <v>1069</v>
      </c>
      <c r="AZ30" s="121">
        <v>-11</v>
      </c>
      <c r="BA30" s="463" t="s">
        <v>1068</v>
      </c>
      <c r="BB30" s="122"/>
      <c r="BC30" s="122">
        <v>-2.4</v>
      </c>
      <c r="BD30" s="139" t="s">
        <v>1069</v>
      </c>
      <c r="BE30" s="121">
        <f ca="1">INDIRECT(ADDRESS(MATCH($B30,'【別紙1】標高（入力）'!$B:$B,0),'【別紙1】標高（入力）'!AE$2,4,TRUE,"【別紙1】標高（入力）"))</f>
        <v>0.70000000000014495</v>
      </c>
      <c r="BF30" s="135" t="s">
        <v>1273</v>
      </c>
      <c r="BG30" s="122" t="str">
        <f ca="1">INDIRECT(ADDRESS(MATCH($B30,'【別紙1】標高（入力）'!$B:$B,0),'【別紙1】標高（入力）'!AG$2,4,TRUE,"【別紙1】標高（入力）"))</f>
        <v/>
      </c>
      <c r="BH30" s="121">
        <f ca="1">INDIRECT(ADDRESS(MATCH($B30,'【別紙1】標高（入力）'!$B:$B,0),'【別紙1】標高（入力）'!AH$2,4,TRUE,"【別紙1】標高（入力）"))</f>
        <v>2.9999999999996696</v>
      </c>
      <c r="BI30" s="624"/>
      <c r="BJ30" s="598" t="str">
        <f t="shared" ca="1" si="6"/>
        <v>-</v>
      </c>
      <c r="BK30" s="604">
        <f t="shared" ca="1" si="7"/>
        <v>331.09999999999997</v>
      </c>
      <c r="BL30" s="602" t="str">
        <f ca="1">INDIRECT(ADDRESS(MATCH($B30,'【別紙1】標高（入力）'!$B:$B,0),'【別紙1】標高（入力）'!$N$2,4,TRUE,"【別紙1】標高（入力）"))</f>
        <v>R4</v>
      </c>
      <c r="BM30" s="342">
        <f ca="1">INDIRECT(ADDRESS(MATCH($B30,'【別紙1】標高（入力）'!$B:$B,0),'【別紙1】標高（入力）'!$O$2,4,TRUE,"【別紙1】標高（入力）"))</f>
        <v>3.3919000000000001</v>
      </c>
      <c r="BN30" s="392"/>
    </row>
    <row r="31" spans="1:66" ht="14.25" customHeight="1">
      <c r="A31" s="119">
        <v>216</v>
      </c>
      <c r="B31" s="107" t="s">
        <v>397</v>
      </c>
      <c r="C31" s="114" t="s">
        <v>38</v>
      </c>
      <c r="D31" s="110" t="s">
        <v>699</v>
      </c>
      <c r="E31" s="109" t="s">
        <v>68</v>
      </c>
      <c r="F31" s="111" t="s">
        <v>9</v>
      </c>
      <c r="G31" s="112" t="s">
        <v>19</v>
      </c>
      <c r="H31" s="112" t="s">
        <v>541</v>
      </c>
      <c r="I31" s="112" t="s">
        <v>539</v>
      </c>
      <c r="J31" s="112" t="s">
        <v>265</v>
      </c>
      <c r="K31" s="222"/>
      <c r="L31" s="124">
        <v>13.9</v>
      </c>
      <c r="M31" s="124">
        <v>0.6</v>
      </c>
      <c r="N31" s="124">
        <v>2.1</v>
      </c>
      <c r="O31" s="124">
        <v>3.9</v>
      </c>
      <c r="P31" s="124">
        <v>8.6999999999999993</v>
      </c>
      <c r="Q31" s="124">
        <v>3.4</v>
      </c>
      <c r="R31" s="124">
        <v>3.6</v>
      </c>
      <c r="S31" s="124">
        <v>-7.5</v>
      </c>
      <c r="T31" s="124">
        <v>4.7</v>
      </c>
      <c r="U31" s="124">
        <v>1.9</v>
      </c>
      <c r="V31" s="124">
        <v>8.4</v>
      </c>
      <c r="W31" s="124">
        <v>3.3</v>
      </c>
      <c r="X31" s="124">
        <v>1.4</v>
      </c>
      <c r="Y31" s="136" t="s">
        <v>652</v>
      </c>
      <c r="Z31" s="122"/>
      <c r="AA31" s="122"/>
      <c r="AB31" s="127">
        <v>18.600000000000001</v>
      </c>
      <c r="AC31" s="124">
        <v>10</v>
      </c>
      <c r="AD31" s="124">
        <v>-0.4</v>
      </c>
      <c r="AE31" s="124">
        <v>0.7</v>
      </c>
      <c r="AF31" s="124">
        <v>8.5</v>
      </c>
      <c r="AG31" s="124"/>
      <c r="AH31" s="123">
        <v>10</v>
      </c>
      <c r="AI31" s="126">
        <v>9.3000000000000007</v>
      </c>
      <c r="AJ31" s="128">
        <v>-1.2</v>
      </c>
      <c r="AK31" s="128">
        <v>5.3</v>
      </c>
      <c r="AL31" s="123">
        <v>1.1000000000000001</v>
      </c>
      <c r="AM31" s="136" t="s">
        <v>637</v>
      </c>
      <c r="AN31" s="122">
        <v>-1.1000000000000001</v>
      </c>
      <c r="AO31" s="139" t="s">
        <v>1068</v>
      </c>
      <c r="AP31" s="122"/>
      <c r="AQ31" s="122">
        <v>15.1</v>
      </c>
      <c r="AR31" s="139" t="s">
        <v>1072</v>
      </c>
      <c r="AS31" s="122"/>
      <c r="AT31" s="122"/>
      <c r="AU31" s="122"/>
      <c r="AV31" s="122"/>
      <c r="AW31" s="122">
        <v>3.5</v>
      </c>
      <c r="AX31" s="125">
        <v>7.7</v>
      </c>
      <c r="AY31" s="225"/>
      <c r="AZ31" s="228"/>
      <c r="BA31" s="462"/>
      <c r="BB31" s="228"/>
      <c r="BC31" s="138" t="s">
        <v>1257</v>
      </c>
      <c r="BD31" s="122" t="str">
        <f ca="1">INDIRECT(ADDRESS(MATCH($B31,'【別紙1】標高（入力）'!$B:$B,0),'【別紙1】標高（入力）'!AD$2,4,TRUE,"【別紙1】標高（入力）"))</f>
        <v/>
      </c>
      <c r="BE31" s="122" t="str">
        <f ca="1">INDIRECT(ADDRESS(MATCH($B31,'【別紙1】標高（入力）'!$B:$B,0),'【別紙1】標高（入力）'!AE$2,4,TRUE,"【別紙1】標高（入力）"))</f>
        <v/>
      </c>
      <c r="BF31" s="122" t="str">
        <f ca="1">INDIRECT(ADDRESS(MATCH($B31,'【別紙1】標高（入力）'!$B:$B,0),'【別紙1】標高（入力）'!AF$2,4,TRUE,"【別紙1】標高（入力）"))</f>
        <v/>
      </c>
      <c r="BG31" s="122" t="str">
        <f ca="1">INDIRECT(ADDRESS(MATCH($B31,'【別紙1】標高（入力）'!$B:$B,0),'【別紙1】標高（入力）'!AG$2,4,TRUE,"【別紙1】標高（入力）"))</f>
        <v/>
      </c>
      <c r="BH31" s="122" t="str">
        <f ca="1">INDIRECT(ADDRESS(MATCH($B31,'【別紙1】標高（入力）'!$B:$B,0),'【別紙1】標高（入力）'!AH$2,4,TRUE,"【別紙1】標高（入力）"))</f>
        <v/>
      </c>
      <c r="BI31" s="624"/>
      <c r="BJ31" s="598" t="str">
        <f t="shared" ca="1" si="6"/>
        <v>-</v>
      </c>
      <c r="BK31" s="604">
        <f t="shared" ca="1" si="7"/>
        <v>135.49999999999997</v>
      </c>
      <c r="BL31" s="600" t="s">
        <v>1256</v>
      </c>
      <c r="BM31" s="340">
        <v>3.9039000000000001</v>
      </c>
      <c r="BN31" s="392"/>
    </row>
    <row r="32" spans="1:66" s="231" customFormat="1" ht="14.25" customHeight="1">
      <c r="A32" s="214">
        <v>217</v>
      </c>
      <c r="B32" s="215" t="s">
        <v>398</v>
      </c>
      <c r="C32" s="216" t="s">
        <v>38</v>
      </c>
      <c r="D32" s="217" t="s">
        <v>326</v>
      </c>
      <c r="E32" s="218" t="s">
        <v>299</v>
      </c>
      <c r="F32" s="219" t="s">
        <v>9</v>
      </c>
      <c r="G32" s="220" t="s">
        <v>10</v>
      </c>
      <c r="H32" s="220" t="s">
        <v>64</v>
      </c>
      <c r="I32" s="220" t="s">
        <v>54</v>
      </c>
      <c r="J32" s="220" t="s">
        <v>265</v>
      </c>
      <c r="K32" s="224"/>
      <c r="L32" s="228"/>
      <c r="M32" s="221"/>
      <c r="N32" s="124">
        <v>3.4</v>
      </c>
      <c r="O32" s="136" t="s">
        <v>636</v>
      </c>
      <c r="P32" s="127">
        <v>14.7</v>
      </c>
      <c r="Q32" s="124">
        <v>5.4</v>
      </c>
      <c r="R32" s="124">
        <v>2.8</v>
      </c>
      <c r="S32" s="124">
        <v>-6.3</v>
      </c>
      <c r="T32" s="124">
        <v>5.0999999999999996</v>
      </c>
      <c r="U32" s="136" t="s">
        <v>636</v>
      </c>
      <c r="V32" s="127">
        <v>7.8</v>
      </c>
      <c r="W32" s="224"/>
      <c r="X32" s="228"/>
      <c r="Y32" s="228"/>
      <c r="Z32" s="228"/>
      <c r="AA32" s="228"/>
      <c r="AB32" s="228"/>
      <c r="AC32" s="228"/>
      <c r="AD32" s="228"/>
      <c r="AE32" s="228"/>
      <c r="AF32" s="411" t="s">
        <v>1271</v>
      </c>
      <c r="AG32" s="228"/>
      <c r="AH32" s="228"/>
      <c r="AI32" s="228" t="s">
        <v>247</v>
      </c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462"/>
      <c r="BB32" s="228"/>
      <c r="BC32" s="228"/>
      <c r="BD32" s="228"/>
      <c r="BE32" s="228"/>
      <c r="BF32" s="228"/>
      <c r="BG32" s="228"/>
      <c r="BH32" s="625"/>
      <c r="BI32" s="570"/>
      <c r="BJ32" s="599" t="str">
        <f t="shared" si="0"/>
        <v>-</v>
      </c>
      <c r="BK32" s="605">
        <f t="shared" si="1"/>
        <v>32.9</v>
      </c>
      <c r="BL32" s="603" t="s">
        <v>1188</v>
      </c>
      <c r="BM32" s="344" t="s">
        <v>1189</v>
      </c>
      <c r="BN32" s="393" t="s">
        <v>20</v>
      </c>
    </row>
    <row r="33" spans="1:66" ht="14.25" customHeight="1">
      <c r="A33" s="119">
        <v>218</v>
      </c>
      <c r="B33" s="107" t="s">
        <v>396</v>
      </c>
      <c r="C33" s="114" t="s">
        <v>38</v>
      </c>
      <c r="D33" s="596" t="s">
        <v>1394</v>
      </c>
      <c r="E33" s="109" t="s">
        <v>69</v>
      </c>
      <c r="F33" s="111" t="s">
        <v>70</v>
      </c>
      <c r="G33" s="112" t="s">
        <v>19</v>
      </c>
      <c r="H33" s="112" t="s">
        <v>64</v>
      </c>
      <c r="I33" s="112" t="s">
        <v>539</v>
      </c>
      <c r="J33" s="112" t="s">
        <v>265</v>
      </c>
      <c r="K33" s="222"/>
      <c r="L33" s="136" t="s">
        <v>636</v>
      </c>
      <c r="M33" s="127">
        <v>25.9</v>
      </c>
      <c r="N33" s="124">
        <v>4.9000000000000004</v>
      </c>
      <c r="O33" s="136" t="s">
        <v>636</v>
      </c>
      <c r="P33" s="127">
        <v>21.9</v>
      </c>
      <c r="Q33" s="124">
        <v>4.8</v>
      </c>
      <c r="R33" s="124">
        <v>8.6999999999999993</v>
      </c>
      <c r="S33" s="124">
        <v>-2.1</v>
      </c>
      <c r="T33" s="124">
        <v>13.3</v>
      </c>
      <c r="U33" s="124">
        <v>7</v>
      </c>
      <c r="V33" s="124">
        <v>11.3</v>
      </c>
      <c r="W33" s="136" t="s">
        <v>679</v>
      </c>
      <c r="X33" s="122"/>
      <c r="Y33" s="122"/>
      <c r="Z33" s="122"/>
      <c r="AA33" s="122"/>
      <c r="AB33" s="127">
        <v>23.8</v>
      </c>
      <c r="AC33" s="124">
        <v>9.6999999999999993</v>
      </c>
      <c r="AD33" s="124">
        <v>-0.3</v>
      </c>
      <c r="AE33" s="124">
        <v>2</v>
      </c>
      <c r="AF33" s="124"/>
      <c r="AG33" s="124"/>
      <c r="AH33" s="123">
        <v>8.3000000000000007</v>
      </c>
      <c r="AI33" s="126">
        <v>14.9</v>
      </c>
      <c r="AJ33" s="128">
        <v>1.7</v>
      </c>
      <c r="AK33" s="128">
        <v>10.6</v>
      </c>
      <c r="AL33" s="123">
        <v>3.6</v>
      </c>
      <c r="AM33" s="136" t="s">
        <v>637</v>
      </c>
      <c r="AN33" s="122">
        <v>-226</v>
      </c>
      <c r="AO33" s="139" t="s">
        <v>1068</v>
      </c>
      <c r="AP33" s="122"/>
      <c r="AQ33" s="122">
        <v>41.1</v>
      </c>
      <c r="AR33" s="139" t="s">
        <v>1072</v>
      </c>
      <c r="AS33" s="122"/>
      <c r="AT33" s="122"/>
      <c r="AU33" s="122"/>
      <c r="AV33" s="122"/>
      <c r="AW33" s="122">
        <v>6.6</v>
      </c>
      <c r="AX33" s="125">
        <v>8.4</v>
      </c>
      <c r="AY33" s="139" t="s">
        <v>1070</v>
      </c>
      <c r="AZ33" s="122"/>
      <c r="BA33" s="460"/>
      <c r="BB33" s="122"/>
      <c r="BC33" s="122">
        <v>-14.7</v>
      </c>
      <c r="BD33" s="634" t="s">
        <v>1515</v>
      </c>
      <c r="BE33" s="632" t="str">
        <f ca="1">INDIRECT(ADDRESS(MATCH($B33,'【別紙1】標高（入力）'!$B:$B,0),'【別紙1】標高（入力）'!AE$2,4,TRUE,"【別紙1】標高（入力）"))</f>
        <v/>
      </c>
      <c r="BF33" s="632" t="str">
        <f ca="1">INDIRECT(ADDRESS(MATCH($B33,'【別紙1】標高（入力）'!$B:$B,0),'【別紙1】標高（入力）'!AF$2,4,TRUE,"【別紙1】標高（入力）"))</f>
        <v/>
      </c>
      <c r="BG33" s="632" t="str">
        <f ca="1">INDIRECT(ADDRESS(MATCH($B33,'【別紙1】標高（入力）'!$B:$B,0),'【別紙1】標高（入力）'!AG$2,4,TRUE,"【別紙1】標高（入力）"))</f>
        <v/>
      </c>
      <c r="BH33" s="569" t="str">
        <f ca="1">INDIRECT(ADDRESS(MATCH($B33,'【別紙1】標高（入力）'!$B:$B,0),'【別紙1】標高（入力）'!AH$2,4,TRUE,"【別紙1】標高（入力）"))</f>
        <v/>
      </c>
      <c r="BI33" s="568">
        <f ca="1">INDIRECT(ADDRESS(MATCH($B33,'【別紙1】標高（入力）'!$B:$B,0),'【別紙1】標高（入力）'!AI$2,4,TRUE,"【別紙1】標高（入力）"))</f>
        <v>8.299999999999752</v>
      </c>
      <c r="BJ33" s="598" t="str">
        <f t="shared" ca="1" si="0"/>
        <v>-</v>
      </c>
      <c r="BK33" s="604">
        <f t="shared" ca="1" si="1"/>
        <v>-14.600000000000026</v>
      </c>
      <c r="BL33" s="600" t="str">
        <f ca="1">INDIRECT(ADDRESS(MATCH($B33,'【別紙1】標高（入力）'!$B:$B,0),'【別紙1】標高（入力）'!$N$2,4,TRUE,"【別紙1】標高（入力）"))</f>
        <v>R5</v>
      </c>
      <c r="BM33" s="340">
        <f ca="1">INDIRECT(ADDRESS(MATCH($B33,'【別紙1】標高（入力）'!$B:$B,0),'【別紙1】標高（入力）'!$O$2,4,TRUE,"【別紙1】標高（入力）"))</f>
        <v>2.9409000000000001</v>
      </c>
      <c r="BN33" s="392" t="s">
        <v>731</v>
      </c>
    </row>
    <row r="34" spans="1:66" ht="14.25" customHeight="1">
      <c r="A34" s="119">
        <v>219</v>
      </c>
      <c r="B34" s="591">
        <v>8415</v>
      </c>
      <c r="C34" s="114" t="s">
        <v>38</v>
      </c>
      <c r="D34" s="110" t="s">
        <v>709</v>
      </c>
      <c r="E34" s="597" t="s">
        <v>1408</v>
      </c>
      <c r="F34" s="111" t="s">
        <v>12</v>
      </c>
      <c r="G34" s="112" t="s">
        <v>73</v>
      </c>
      <c r="H34" s="112" t="s">
        <v>541</v>
      </c>
      <c r="I34" s="112" t="s">
        <v>539</v>
      </c>
      <c r="J34" s="112" t="s">
        <v>265</v>
      </c>
      <c r="K34" s="224"/>
      <c r="L34" s="228"/>
      <c r="M34" s="228"/>
      <c r="N34" s="221"/>
      <c r="O34" s="136" t="s">
        <v>636</v>
      </c>
      <c r="P34" s="122">
        <v>23.6</v>
      </c>
      <c r="Q34" s="415" t="s">
        <v>1270</v>
      </c>
      <c r="R34" s="413" t="s">
        <v>1270</v>
      </c>
      <c r="S34" s="127">
        <v>-2.7</v>
      </c>
      <c r="T34" s="124">
        <v>8.6</v>
      </c>
      <c r="U34" s="124">
        <v>2.9</v>
      </c>
      <c r="V34" s="124">
        <v>18.5</v>
      </c>
      <c r="W34" s="124">
        <v>16.600000000000001</v>
      </c>
      <c r="X34" s="124">
        <v>17.600000000000001</v>
      </c>
      <c r="Y34" s="124">
        <v>2.9</v>
      </c>
      <c r="Z34" s="124">
        <v>-2.1</v>
      </c>
      <c r="AA34" s="124">
        <v>8.1</v>
      </c>
      <c r="AB34" s="124">
        <v>-3.3</v>
      </c>
      <c r="AC34" s="124">
        <v>10.9</v>
      </c>
      <c r="AD34" s="124">
        <v>-1.8</v>
      </c>
      <c r="AE34" s="124">
        <v>-3.4</v>
      </c>
      <c r="AF34" s="124">
        <v>8</v>
      </c>
      <c r="AG34" s="124">
        <v>2.2999999999999998</v>
      </c>
      <c r="AH34" s="123">
        <v>0.3</v>
      </c>
      <c r="AI34" s="126">
        <v>9.5</v>
      </c>
      <c r="AJ34" s="123">
        <v>0.4</v>
      </c>
      <c r="AK34" s="123">
        <v>3.4</v>
      </c>
      <c r="AL34" s="123">
        <v>1.4</v>
      </c>
      <c r="AM34" s="124">
        <v>3.2000000000005402</v>
      </c>
      <c r="AN34" s="123">
        <v>-4.0999999999999996</v>
      </c>
      <c r="AO34" s="125">
        <v>7</v>
      </c>
      <c r="AP34" s="126">
        <v>6.6</v>
      </c>
      <c r="AQ34" s="122">
        <v>-1.9</v>
      </c>
      <c r="AR34" s="125">
        <v>2.4</v>
      </c>
      <c r="AS34" s="125">
        <v>1.7</v>
      </c>
      <c r="AT34" s="139" t="s">
        <v>652</v>
      </c>
      <c r="AU34" s="122"/>
      <c r="AV34" s="122"/>
      <c r="AW34" s="122">
        <v>2.6</v>
      </c>
      <c r="AX34" s="125">
        <v>7.2</v>
      </c>
      <c r="AY34" s="139" t="s">
        <v>1069</v>
      </c>
      <c r="AZ34" s="121">
        <v>-7.4</v>
      </c>
      <c r="BA34" s="463" t="s">
        <v>1068</v>
      </c>
      <c r="BB34" s="122"/>
      <c r="BC34" s="122">
        <v>-1.9</v>
      </c>
      <c r="BD34" s="139" t="s">
        <v>1069</v>
      </c>
      <c r="BE34" s="121">
        <f ca="1">INDIRECT(ADDRESS(MATCH($B34,'【別紙1】標高（入力）'!$B:$B,0),'【別紙1】標高（入力）'!AE$2,4,TRUE,"【別紙1】標高（入力）"))</f>
        <v>1.5000000000000568</v>
      </c>
      <c r="BF34" s="135" t="s">
        <v>1381</v>
      </c>
      <c r="BG34" s="122" t="str">
        <f ca="1">INDIRECT(ADDRESS(MATCH($B34,'【別紙1】標高（入力）'!$B:$B,0),'【別紙1】標高（入力）'!AG$2,4,TRUE,"【別紙1】標高（入力）"))</f>
        <v/>
      </c>
      <c r="BH34" s="121">
        <f ca="1">INDIRECT(ADDRESS(MATCH($B34,'【別紙1】標高（入力）'!$B:$B,0),'【別紙1】標高（入力）'!AH$2,4,TRUE,"【別紙1】標高（入力）"))</f>
        <v>5.6000000000002714</v>
      </c>
      <c r="BI34" s="624"/>
      <c r="BJ34" s="598" t="str">
        <f ca="1">IF(AND(ISNUMBER(BI34)*1,ISNUMBER(BH34)*1),BI34,"-")</f>
        <v>-</v>
      </c>
      <c r="BK34" s="604">
        <f ca="1">SUM(K34:BI34)</f>
        <v>144.20000000000087</v>
      </c>
      <c r="BL34" s="600" t="str">
        <f ca="1">INDIRECT(ADDRESS(MATCH($B34,'【別紙1】標高（入力）'!$B:$B,0),'【別紙1】標高（入力）'!$N$2,4,TRUE,"【別紙1】標高（入力）"))</f>
        <v>R4</v>
      </c>
      <c r="BM34" s="342">
        <f ca="1">INDIRECT(ADDRESS(MATCH($B34,'【別紙1】標高（入力）'!$B:$B,0),'【別紙1】標高（入力）'!$O$2,4,TRUE,"【別紙1】標高（入力）"))</f>
        <v>7.2664</v>
      </c>
      <c r="BN34" s="392"/>
    </row>
    <row r="35" spans="1:66" ht="15.95" customHeight="1">
      <c r="A35" s="119">
        <v>220</v>
      </c>
      <c r="B35" s="591">
        <v>8416</v>
      </c>
      <c r="C35" s="114" t="s">
        <v>38</v>
      </c>
      <c r="D35" s="110" t="s">
        <v>667</v>
      </c>
      <c r="E35" s="597" t="s">
        <v>1409</v>
      </c>
      <c r="F35" s="111" t="s">
        <v>12</v>
      </c>
      <c r="G35" s="112" t="s">
        <v>19</v>
      </c>
      <c r="H35" s="112" t="s">
        <v>541</v>
      </c>
      <c r="I35" s="112" t="s">
        <v>54</v>
      </c>
      <c r="J35" s="112" t="s">
        <v>265</v>
      </c>
      <c r="K35" s="222"/>
      <c r="L35" s="124">
        <v>39.6</v>
      </c>
      <c r="M35" s="124">
        <v>22.9</v>
      </c>
      <c r="N35" s="124">
        <v>24.9</v>
      </c>
      <c r="O35" s="124">
        <v>12.6</v>
      </c>
      <c r="P35" s="124">
        <v>20.8</v>
      </c>
      <c r="Q35" s="124">
        <v>35.299999999999997</v>
      </c>
      <c r="R35" s="124">
        <v>34</v>
      </c>
      <c r="S35" s="124">
        <v>-2</v>
      </c>
      <c r="T35" s="124">
        <v>59</v>
      </c>
      <c r="U35" s="123">
        <v>17.100000000000001</v>
      </c>
      <c r="V35" s="415" t="s">
        <v>1270</v>
      </c>
      <c r="W35" s="395" t="s">
        <v>1270</v>
      </c>
      <c r="X35" s="413" t="s">
        <v>1270</v>
      </c>
      <c r="Y35" s="228"/>
      <c r="Z35" s="228"/>
      <c r="AA35" s="228"/>
      <c r="AB35" s="411" t="s">
        <v>47</v>
      </c>
      <c r="AC35" s="135" t="s">
        <v>1273</v>
      </c>
      <c r="AD35" s="122"/>
      <c r="AE35" s="127">
        <v>66.900000000000006</v>
      </c>
      <c r="AF35" s="136" t="s">
        <v>1273</v>
      </c>
      <c r="AG35" s="122"/>
      <c r="AH35" s="122">
        <v>30.8</v>
      </c>
      <c r="AI35" s="139" t="s">
        <v>525</v>
      </c>
      <c r="AJ35" s="122"/>
      <c r="AK35" s="121">
        <v>23.3</v>
      </c>
      <c r="AL35" s="139" t="s">
        <v>525</v>
      </c>
      <c r="AM35" s="122"/>
      <c r="AN35" s="127">
        <v>17.3</v>
      </c>
      <c r="AO35" s="122">
        <v>12.5</v>
      </c>
      <c r="AP35" s="139" t="s">
        <v>636</v>
      </c>
      <c r="AQ35" s="122">
        <v>20.100000000000001</v>
      </c>
      <c r="AR35" s="125">
        <v>7.7</v>
      </c>
      <c r="AS35" s="139" t="s">
        <v>1070</v>
      </c>
      <c r="AT35" s="122"/>
      <c r="AU35" s="122"/>
      <c r="AV35" s="122"/>
      <c r="AW35" s="122">
        <v>16.7</v>
      </c>
      <c r="AX35" s="125">
        <v>13.2</v>
      </c>
      <c r="AY35" s="139" t="s">
        <v>1070</v>
      </c>
      <c r="AZ35" s="122"/>
      <c r="BA35" s="460"/>
      <c r="BB35" s="122"/>
      <c r="BC35" s="122">
        <v>11.7</v>
      </c>
      <c r="BD35" s="634" t="s">
        <v>1515</v>
      </c>
      <c r="BE35" s="632" t="str">
        <f ca="1">INDIRECT(ADDRESS(MATCH($B35,'【別紙1】標高（入力）'!$B:$B,0),'【別紙1】標高（入力）'!AE$2,4,TRUE,"【別紙1】標高（入力）"))</f>
        <v/>
      </c>
      <c r="BF35" s="632" t="str">
        <f ca="1">INDIRECT(ADDRESS(MATCH($B35,'【別紙1】標高（入力）'!$B:$B,0),'【別紙1】標高（入力）'!AF$2,4,TRUE,"【別紙1】標高（入力）"))</f>
        <v/>
      </c>
      <c r="BG35" s="632" t="str">
        <f ca="1">INDIRECT(ADDRESS(MATCH($B35,'【別紙1】標高（入力）'!$B:$B,0),'【別紙1】標高（入力）'!AG$2,4,TRUE,"【別紙1】標高（入力）"))</f>
        <v/>
      </c>
      <c r="BH35" s="569" t="str">
        <f ca="1">INDIRECT(ADDRESS(MATCH($B35,'【別紙1】標高（入力）'!$B:$B,0),'【別紙1】標高（入力）'!AH$2,4,TRUE,"【別紙1】標高（入力）"))</f>
        <v/>
      </c>
      <c r="BI35" s="568">
        <f ca="1">INDIRECT(ADDRESS(MATCH($B35,'【別紙1】標高（入力）'!$B:$B,0),'【別紙1】標高（入力）'!AI$2,4,TRUE,"【別紙1】標高（入力）"))</f>
        <v>37.800000000000281</v>
      </c>
      <c r="BJ35" s="598" t="str">
        <f t="shared" ca="1" si="0"/>
        <v>-</v>
      </c>
      <c r="BK35" s="604">
        <f t="shared" ca="1" si="1"/>
        <v>484.40000000000003</v>
      </c>
      <c r="BL35" s="602" t="str">
        <f ca="1">INDIRECT(ADDRESS(MATCH($B35,'【別紙1】標高（入力）'!$B:$B,0),'【別紙1】標高（入力）'!$N$2,4,TRUE,"【別紙1】標高（入力）"))</f>
        <v>R5</v>
      </c>
      <c r="BM35" s="342">
        <f ca="1">INDIRECT(ADDRESS(MATCH($B35,'【別紙1】標高（入力）'!$B:$B,0),'【別紙1】標高（入力）'!$O$2,4,TRUE,"【別紙1】標高（入力）"))</f>
        <v>2.0078999999999998</v>
      </c>
      <c r="BN35" s="392"/>
    </row>
    <row r="36" spans="1:66" ht="15.95" customHeight="1">
      <c r="A36" s="119">
        <v>221</v>
      </c>
      <c r="B36" s="591">
        <v>8417</v>
      </c>
      <c r="C36" s="114" t="s">
        <v>38</v>
      </c>
      <c r="D36" s="110" t="s">
        <v>681</v>
      </c>
      <c r="E36" s="597" t="s">
        <v>1410</v>
      </c>
      <c r="F36" s="111" t="s">
        <v>12</v>
      </c>
      <c r="G36" s="112" t="s">
        <v>10</v>
      </c>
      <c r="H36" s="112" t="s">
        <v>541</v>
      </c>
      <c r="I36" s="112" t="s">
        <v>539</v>
      </c>
      <c r="J36" s="112" t="s">
        <v>265</v>
      </c>
      <c r="K36" s="224"/>
      <c r="L36" s="228"/>
      <c r="M36" s="221"/>
      <c r="N36" s="124">
        <v>10.199999999999999</v>
      </c>
      <c r="O36" s="136" t="s">
        <v>636</v>
      </c>
      <c r="P36" s="127">
        <v>23.4</v>
      </c>
      <c r="Q36" s="124">
        <v>10.6</v>
      </c>
      <c r="R36" s="124">
        <v>7.5</v>
      </c>
      <c r="S36" s="124">
        <v>-2.4</v>
      </c>
      <c r="T36" s="124">
        <v>11.1</v>
      </c>
      <c r="U36" s="124">
        <v>1.7</v>
      </c>
      <c r="V36" s="124">
        <v>15.7</v>
      </c>
      <c r="W36" s="124">
        <v>11.8</v>
      </c>
      <c r="X36" s="124">
        <v>3.4</v>
      </c>
      <c r="Y36" s="136" t="s">
        <v>652</v>
      </c>
      <c r="Z36" s="122"/>
      <c r="AA36" s="122"/>
      <c r="AB36" s="127">
        <v>40.5</v>
      </c>
      <c r="AC36" s="124">
        <v>10.7</v>
      </c>
      <c r="AD36" s="124">
        <v>4.7</v>
      </c>
      <c r="AE36" s="124">
        <v>5.9</v>
      </c>
      <c r="AF36" s="124">
        <v>10.7</v>
      </c>
      <c r="AG36" s="124">
        <v>-0.7</v>
      </c>
      <c r="AH36" s="123">
        <v>11.9</v>
      </c>
      <c r="AI36" s="139" t="s">
        <v>637</v>
      </c>
      <c r="AJ36" s="121">
        <v>7.9</v>
      </c>
      <c r="AK36" s="121">
        <v>6.1</v>
      </c>
      <c r="AL36" s="122">
        <v>5.0999999999999996</v>
      </c>
      <c r="AM36" s="136" t="s">
        <v>637</v>
      </c>
      <c r="AN36" s="122">
        <v>10.9</v>
      </c>
      <c r="AO36" s="125">
        <v>11.7</v>
      </c>
      <c r="AP36" s="139" t="s">
        <v>525</v>
      </c>
      <c r="AQ36" s="122"/>
      <c r="AR36" s="122">
        <v>14.899999999999901</v>
      </c>
      <c r="AS36" s="139" t="s">
        <v>1072</v>
      </c>
      <c r="AT36" s="122"/>
      <c r="AU36" s="122"/>
      <c r="AV36" s="122"/>
      <c r="AW36" s="122"/>
      <c r="AX36" s="122">
        <v>21.1</v>
      </c>
      <c r="AY36" s="139" t="s">
        <v>1070</v>
      </c>
      <c r="AZ36" s="122"/>
      <c r="BA36" s="460"/>
      <c r="BB36" s="122"/>
      <c r="BC36" s="122">
        <v>0.2</v>
      </c>
      <c r="BD36" s="634" t="s">
        <v>1515</v>
      </c>
      <c r="BE36" s="632" t="str">
        <f ca="1">INDIRECT(ADDRESS(MATCH($B36,'【別紙1】標高（入力）'!$B:$B,0),'【別紙1】標高（入力）'!AE$2,4,TRUE,"【別紙1】標高（入力）"))</f>
        <v/>
      </c>
      <c r="BF36" s="632" t="str">
        <f ca="1">INDIRECT(ADDRESS(MATCH($B36,'【別紙1】標高（入力）'!$B:$B,0),'【別紙1】標高（入力）'!AF$2,4,TRUE,"【別紙1】標高（入力）"))</f>
        <v/>
      </c>
      <c r="BG36" s="632" t="str">
        <f ca="1">INDIRECT(ADDRESS(MATCH($B36,'【別紙1】標高（入力）'!$B:$B,0),'【別紙1】標高（入力）'!AG$2,4,TRUE,"【別紙1】標高（入力）"))</f>
        <v/>
      </c>
      <c r="BH36" s="569" t="str">
        <f ca="1">INDIRECT(ADDRESS(MATCH($B36,'【別紙1】標高（入力）'!$B:$B,0),'【別紙1】標高（入力）'!AH$2,4,TRUE,"【別紙1】標高（入力）"))</f>
        <v/>
      </c>
      <c r="BI36" s="569">
        <f ca="1">INDIRECT(ADDRESS(MATCH($B36,'【別紙1】標高（入力）'!$B:$B,0),'【別紙1】標高（入力）'!AI$2,4,TRUE,"【別紙1】標高（入力）"))</f>
        <v>15.899999999999359</v>
      </c>
      <c r="BJ36" s="598" t="str">
        <f t="shared" ca="1" si="0"/>
        <v>-</v>
      </c>
      <c r="BK36" s="604">
        <f t="shared" ca="1" si="1"/>
        <v>254.59999999999985</v>
      </c>
      <c r="BL36" s="602" t="str">
        <f ca="1">INDIRECT(ADDRESS(MATCH($B36,'【別紙1】標高（入力）'!$B:$B,0),'【別紙1】標高（入力）'!$N$2,4,TRUE,"【別紙1】標高（入力）"))</f>
        <v>R5</v>
      </c>
      <c r="BM36" s="342">
        <f ca="1">INDIRECT(ADDRESS(MATCH($B36,'【別紙1】標高（入力）'!$B:$B,0),'【別紙1】標高（入力）'!$O$2,4,TRUE,"【別紙1】標高（入力）"))</f>
        <v>4.0772000000000004</v>
      </c>
      <c r="BN36" s="392"/>
    </row>
    <row r="37" spans="1:66" ht="15.95" customHeight="1">
      <c r="A37" s="119">
        <v>222</v>
      </c>
      <c r="B37" s="107" t="s">
        <v>425</v>
      </c>
      <c r="C37" s="114" t="s">
        <v>38</v>
      </c>
      <c r="D37" s="110" t="s">
        <v>567</v>
      </c>
      <c r="E37" s="109" t="s">
        <v>79</v>
      </c>
      <c r="F37" s="111" t="s">
        <v>9</v>
      </c>
      <c r="G37" s="112" t="s">
        <v>10</v>
      </c>
      <c r="H37" s="112" t="s">
        <v>541</v>
      </c>
      <c r="I37" s="112" t="s">
        <v>54</v>
      </c>
      <c r="J37" s="112" t="s">
        <v>265</v>
      </c>
      <c r="K37" s="224"/>
      <c r="L37" s="228"/>
      <c r="M37" s="221"/>
      <c r="N37" s="124">
        <v>18</v>
      </c>
      <c r="O37" s="124">
        <v>13.3</v>
      </c>
      <c r="P37" s="124">
        <v>23.3</v>
      </c>
      <c r="Q37" s="123">
        <v>13.2</v>
      </c>
      <c r="R37" s="411" t="s">
        <v>1270</v>
      </c>
      <c r="S37" s="127">
        <v>9.8000000000000007</v>
      </c>
      <c r="T37" s="124">
        <v>27</v>
      </c>
      <c r="U37" s="124">
        <v>13.6</v>
      </c>
      <c r="V37" s="124">
        <v>28.3</v>
      </c>
      <c r="W37" s="124">
        <v>31.3</v>
      </c>
      <c r="X37" s="124">
        <v>23.5</v>
      </c>
      <c r="Y37" s="224"/>
      <c r="Z37" s="228"/>
      <c r="AA37" s="228"/>
      <c r="AB37" s="411" t="s">
        <v>47</v>
      </c>
      <c r="AC37" s="135" t="s">
        <v>1273</v>
      </c>
      <c r="AD37" s="122"/>
      <c r="AE37" s="127">
        <v>23.1</v>
      </c>
      <c r="AF37" s="136" t="s">
        <v>1273</v>
      </c>
      <c r="AG37" s="122"/>
      <c r="AH37" s="122">
        <v>23.7</v>
      </c>
      <c r="AI37" s="139" t="s">
        <v>525</v>
      </c>
      <c r="AJ37" s="122"/>
      <c r="AK37" s="121">
        <v>16</v>
      </c>
      <c r="AL37" s="139" t="s">
        <v>525</v>
      </c>
      <c r="AM37" s="122"/>
      <c r="AN37" s="127">
        <v>9.1999999999999993</v>
      </c>
      <c r="AO37" s="122">
        <v>11.1</v>
      </c>
      <c r="AP37" s="139" t="s">
        <v>525</v>
      </c>
      <c r="AQ37" s="122"/>
      <c r="AR37" s="122">
        <v>11.8</v>
      </c>
      <c r="AS37" s="139" t="s">
        <v>1072</v>
      </c>
      <c r="AT37" s="122"/>
      <c r="AU37" s="122"/>
      <c r="AV37" s="122"/>
      <c r="AW37" s="122"/>
      <c r="AX37" s="122">
        <v>12.6</v>
      </c>
      <c r="AY37" s="139" t="s">
        <v>1070</v>
      </c>
      <c r="AZ37" s="122"/>
      <c r="BA37" s="460"/>
      <c r="BB37" s="122"/>
      <c r="BC37" s="122">
        <v>-1.9</v>
      </c>
      <c r="BD37" s="634" t="s">
        <v>1515</v>
      </c>
      <c r="BE37" s="632" t="str">
        <f ca="1">INDIRECT(ADDRESS(MATCH($B37,'【別紙1】標高（入力）'!$B:$B,0),'【別紙1】標高（入力）'!AE$2,4,TRUE,"【別紙1】標高（入力）"))</f>
        <v/>
      </c>
      <c r="BF37" s="632" t="str">
        <f ca="1">INDIRECT(ADDRESS(MATCH($B37,'【別紙1】標高（入力）'!$B:$B,0),'【別紙1】標高（入力）'!AF$2,4,TRUE,"【別紙1】標高（入力）"))</f>
        <v/>
      </c>
      <c r="BG37" s="632" t="str">
        <f ca="1">INDIRECT(ADDRESS(MATCH($B37,'【別紙1】標高（入力）'!$B:$B,0),'【別紙1】標高（入力）'!AG$2,4,TRUE,"【別紙1】標高（入力）"))</f>
        <v/>
      </c>
      <c r="BH37" s="569" t="str">
        <f ca="1">INDIRECT(ADDRESS(MATCH($B37,'【別紙1】標高（入力）'!$B:$B,0),'【別紙1】標高（入力）'!AH$2,4,TRUE,"【別紙1】標高（入力）"))</f>
        <v/>
      </c>
      <c r="BI37" s="569">
        <f ca="1">INDIRECT(ADDRESS(MATCH($B37,'【別紙1】標高（入力）'!$B:$B,0),'【別紙1】標高（入力）'!AI$2,4,TRUE,"【別紙1】標高（入力）"))</f>
        <v>12.000000000000011</v>
      </c>
      <c r="BJ37" s="598" t="str">
        <f t="shared" ca="1" si="0"/>
        <v>-</v>
      </c>
      <c r="BK37" s="604">
        <f t="shared" ca="1" si="1"/>
        <v>306.90000000000009</v>
      </c>
      <c r="BL37" s="602" t="str">
        <f ca="1">INDIRECT(ADDRESS(MATCH($B37,'【別紙1】標高（入力）'!$B:$B,0),'【別紙1】標高（入力）'!$N$2,4,TRUE,"【別紙1】標高（入力）"))</f>
        <v>R5</v>
      </c>
      <c r="BM37" s="342">
        <f ca="1">INDIRECT(ADDRESS(MATCH($B37,'【別紙1】標高（入力）'!$B:$B,0),'【別紙1】標高（入力）'!$O$2,4,TRUE,"【別紙1】標高（入力）"))</f>
        <v>2.2166000000000001</v>
      </c>
      <c r="BN37" s="392"/>
    </row>
    <row r="38" spans="1:66" ht="15.95" customHeight="1">
      <c r="A38" s="119">
        <v>223</v>
      </c>
      <c r="B38" s="107" t="s">
        <v>1173</v>
      </c>
      <c r="C38" s="114" t="s">
        <v>38</v>
      </c>
      <c r="D38" s="110" t="s">
        <v>568</v>
      </c>
      <c r="E38" s="109" t="s">
        <v>81</v>
      </c>
      <c r="F38" s="111" t="s">
        <v>9</v>
      </c>
      <c r="G38" s="112" t="s">
        <v>10</v>
      </c>
      <c r="H38" s="112" t="s">
        <v>541</v>
      </c>
      <c r="I38" s="112" t="s">
        <v>539</v>
      </c>
      <c r="J38" s="112" t="s">
        <v>270</v>
      </c>
      <c r="K38" s="224"/>
      <c r="L38" s="228"/>
      <c r="M38" s="221"/>
      <c r="N38" s="123">
        <v>6.1</v>
      </c>
      <c r="O38" s="415" t="s">
        <v>1270</v>
      </c>
      <c r="P38" s="413" t="s">
        <v>1270</v>
      </c>
      <c r="Q38" s="127">
        <v>26.1</v>
      </c>
      <c r="R38" s="124">
        <v>5.9</v>
      </c>
      <c r="S38" s="124">
        <v>-6</v>
      </c>
      <c r="T38" s="124">
        <v>12.8</v>
      </c>
      <c r="U38" s="124">
        <v>2.8</v>
      </c>
      <c r="V38" s="124">
        <v>16.600000000000001</v>
      </c>
      <c r="W38" s="124">
        <v>6.2</v>
      </c>
      <c r="X38" s="124">
        <v>1.6</v>
      </c>
      <c r="Y38" s="136" t="s">
        <v>652</v>
      </c>
      <c r="Z38" s="122"/>
      <c r="AA38" s="122"/>
      <c r="AB38" s="127">
        <v>16.600000000000001</v>
      </c>
      <c r="AC38" s="136" t="s">
        <v>1273</v>
      </c>
      <c r="AD38" s="122"/>
      <c r="AE38" s="127">
        <v>17.899999999999999</v>
      </c>
      <c r="AF38" s="136" t="s">
        <v>1273</v>
      </c>
      <c r="AG38" s="122"/>
      <c r="AH38" s="122">
        <v>16.2</v>
      </c>
      <c r="AI38" s="139" t="s">
        <v>525</v>
      </c>
      <c r="AJ38" s="122"/>
      <c r="AK38" s="121">
        <v>8.9</v>
      </c>
      <c r="AL38" s="139" t="s">
        <v>525</v>
      </c>
      <c r="AM38" s="122"/>
      <c r="AN38" s="127">
        <v>5.6</v>
      </c>
      <c r="AO38" s="122">
        <v>11.2</v>
      </c>
      <c r="AP38" s="139" t="s">
        <v>525</v>
      </c>
      <c r="AQ38" s="122"/>
      <c r="AR38" s="122">
        <v>10.5999999999999</v>
      </c>
      <c r="AS38" s="139" t="s">
        <v>1072</v>
      </c>
      <c r="AT38" s="122"/>
      <c r="AU38" s="122"/>
      <c r="AV38" s="122"/>
      <c r="AW38" s="122"/>
      <c r="AX38" s="122">
        <v>17.899999999999999</v>
      </c>
      <c r="AY38" s="139" t="s">
        <v>1070</v>
      </c>
      <c r="AZ38" s="122"/>
      <c r="BA38" s="460"/>
      <c r="BB38" s="122"/>
      <c r="BC38" s="122">
        <v>-5.5</v>
      </c>
      <c r="BD38" s="634" t="s">
        <v>1515</v>
      </c>
      <c r="BE38" s="632" t="str">
        <f ca="1">INDIRECT(ADDRESS(MATCH($B38,'【別紙1】標高（入力）'!$B:$B,0),'【別紙1】標高（入力）'!AE$2,4,TRUE,"【別紙1】標高（入力）"))</f>
        <v/>
      </c>
      <c r="BF38" s="632" t="str">
        <f ca="1">INDIRECT(ADDRESS(MATCH($B38,'【別紙1】標高（入力）'!$B:$B,0),'【別紙1】標高（入力）'!AF$2,4,TRUE,"【別紙1】標高（入力）"))</f>
        <v/>
      </c>
      <c r="BG38" s="632" t="str">
        <f ca="1">INDIRECT(ADDRESS(MATCH($B38,'【別紙1】標高（入力）'!$B:$B,0),'【別紙1】標高（入力）'!AG$2,4,TRUE,"【別紙1】標高（入力）"))</f>
        <v/>
      </c>
      <c r="BH38" s="569" t="str">
        <f ca="1">INDIRECT(ADDRESS(MATCH($B38,'【別紙1】標高（入力）'!$B:$B,0),'【別紙1】標高（入力）'!AH$2,4,TRUE,"【別紙1】標高（入力）"))</f>
        <v/>
      </c>
      <c r="BI38" s="569">
        <f ca="1">INDIRECT(ADDRESS(MATCH($B38,'【別紙1】標高（入力）'!$B:$B,0),'【別紙1】標高（入力）'!AI$2,4,TRUE,"【別紙1】標高（入力）"))</f>
        <v>7.9000000000000181</v>
      </c>
      <c r="BJ38" s="598" t="str">
        <f t="shared" ca="1" si="0"/>
        <v>-</v>
      </c>
      <c r="BK38" s="604">
        <f t="shared" ca="1" si="1"/>
        <v>171.49999999999991</v>
      </c>
      <c r="BL38" s="602" t="str">
        <f ca="1">INDIRECT(ADDRESS(MATCH($B38,'【別紙1】標高（入力）'!$B:$B,0),'【別紙1】標高（入力）'!$N$2,4,TRUE,"【別紙1】標高（入力）"))</f>
        <v>R5</v>
      </c>
      <c r="BM38" s="342">
        <f ca="1">INDIRECT(ADDRESS(MATCH($B38,'【別紙1】標高（入力）'!$B:$B,0),'【別紙1】標高（入力）'!$O$2,4,TRUE,"【別紙1】標高（入力）"))</f>
        <v>1.9367000000000001</v>
      </c>
      <c r="BN38" s="392"/>
    </row>
    <row r="39" spans="1:66" ht="15.95" customHeight="1">
      <c r="A39" s="119">
        <v>224</v>
      </c>
      <c r="B39" s="107" t="s">
        <v>426</v>
      </c>
      <c r="C39" s="114" t="s">
        <v>38</v>
      </c>
      <c r="D39" s="110" t="s">
        <v>715</v>
      </c>
      <c r="E39" s="109" t="s">
        <v>83</v>
      </c>
      <c r="F39" s="111" t="s">
        <v>9</v>
      </c>
      <c r="G39" s="112" t="s">
        <v>10</v>
      </c>
      <c r="H39" s="112" t="s">
        <v>541</v>
      </c>
      <c r="I39" s="112" t="s">
        <v>539</v>
      </c>
      <c r="J39" s="112" t="s">
        <v>270</v>
      </c>
      <c r="K39" s="224"/>
      <c r="L39" s="228"/>
      <c r="M39" s="221"/>
      <c r="N39" s="124">
        <v>38.4</v>
      </c>
      <c r="O39" s="124">
        <v>12.8</v>
      </c>
      <c r="P39" s="124">
        <v>4.3</v>
      </c>
      <c r="Q39" s="124">
        <v>10.8</v>
      </c>
      <c r="R39" s="124">
        <v>4.3</v>
      </c>
      <c r="S39" s="124">
        <v>2.9</v>
      </c>
      <c r="T39" s="124">
        <v>19.399999999999999</v>
      </c>
      <c r="U39" s="124">
        <v>-7.8</v>
      </c>
      <c r="V39" s="124">
        <v>15.4</v>
      </c>
      <c r="W39" s="124">
        <v>-2.6</v>
      </c>
      <c r="X39" s="124">
        <v>0.4</v>
      </c>
      <c r="Y39" s="136" t="s">
        <v>652</v>
      </c>
      <c r="Z39" s="122"/>
      <c r="AA39" s="122"/>
      <c r="AB39" s="127">
        <v>16.8</v>
      </c>
      <c r="AC39" s="136" t="s">
        <v>1273</v>
      </c>
      <c r="AD39" s="122"/>
      <c r="AE39" s="127">
        <v>13.3</v>
      </c>
      <c r="AF39" s="136" t="s">
        <v>1273</v>
      </c>
      <c r="AG39" s="122"/>
      <c r="AH39" s="122">
        <v>19.399999999999999</v>
      </c>
      <c r="AI39" s="139" t="s">
        <v>695</v>
      </c>
      <c r="AJ39" s="122"/>
      <c r="AK39" s="122"/>
      <c r="AL39" s="122"/>
      <c r="AM39" s="122"/>
      <c r="AN39" s="122"/>
      <c r="AO39" s="122">
        <v>33.9</v>
      </c>
      <c r="AP39" s="139" t="s">
        <v>525</v>
      </c>
      <c r="AQ39" s="122"/>
      <c r="AR39" s="122">
        <v>10.5</v>
      </c>
      <c r="AS39" s="126">
        <v>0.5</v>
      </c>
      <c r="AT39" s="139" t="s">
        <v>1070</v>
      </c>
      <c r="AU39" s="122"/>
      <c r="AV39" s="122"/>
      <c r="AW39" s="122"/>
      <c r="AX39" s="122">
        <v>8.8000000000000007</v>
      </c>
      <c r="AY39" s="139" t="s">
        <v>1069</v>
      </c>
      <c r="AZ39" s="121">
        <v>-5.8</v>
      </c>
      <c r="BA39" s="463" t="s">
        <v>1068</v>
      </c>
      <c r="BB39" s="122"/>
      <c r="BC39" s="122">
        <v>0</v>
      </c>
      <c r="BD39" s="139" t="s">
        <v>1069</v>
      </c>
      <c r="BE39" s="121">
        <f ca="1">INDIRECT(ADDRESS(MATCH($B39,'【別紙1】標高（入力）'!$B:$B,0),'【別紙1】標高（入力）'!AE$2,4,TRUE,"【別紙1】標高（入力）"))</f>
        <v>3.4000000000000696</v>
      </c>
      <c r="BF39" s="633" t="s">
        <v>1337</v>
      </c>
      <c r="BG39" s="632" t="str">
        <f ca="1">INDIRECT(ADDRESS(MATCH($B39,'【別紙1】標高（入力）'!$B:$B,0),'【別紙1】標高（入力）'!AG$2,4,TRUE,"【別紙1】標高（入力）"))</f>
        <v/>
      </c>
      <c r="BH39" s="632" t="str">
        <f ca="1">INDIRECT(ADDRESS(MATCH($B39,'【別紙1】標高（入力）'!$B:$B,0),'【別紙1】標高（入力）'!AH$2,4,TRUE,"【別紙1】標高（入力）"))</f>
        <v/>
      </c>
      <c r="BI39" s="569">
        <f ca="1">INDIRECT(ADDRESS(MATCH($B39,'【別紙1】標高（入力）'!$B:$B,0),'【別紙1】標高（入力）'!AI$2,4,TRUE,"【別紙1】標高（入力）"))</f>
        <v>7.6000000000000512</v>
      </c>
      <c r="BJ39" s="598" t="str">
        <f t="shared" ref="BJ39:BJ40" ca="1" si="8">IF(AND(ISNUMBER(BI39)*1,ISNUMBER(BH39)*1),BI39,"-")</f>
        <v>-</v>
      </c>
      <c r="BK39" s="604">
        <f t="shared" ref="BK39:BK40" ca="1" si="9">SUM(K39:BI39)</f>
        <v>206.70000000000016</v>
      </c>
      <c r="BL39" s="600" t="str">
        <f ca="1">INDIRECT(ADDRESS(MATCH($B39,'【別紙1】標高（入力）'!$B:$B,0),'【別紙1】標高（入力）'!$N$2,4,TRUE,"【別紙1】標高（入力）"))</f>
        <v>R5</v>
      </c>
      <c r="BM39" s="342">
        <f ca="1">INDIRECT(ADDRESS(MATCH($B39,'【別紙1】標高（入力）'!$B:$B,0),'【別紙1】標高（入力）'!$O$2,4,TRUE,"【別紙1】標高（入力）"))</f>
        <v>3.7437</v>
      </c>
      <c r="BN39" s="392"/>
    </row>
    <row r="40" spans="1:66" ht="15.95" customHeight="1">
      <c r="A40" s="119">
        <v>225</v>
      </c>
      <c r="B40" s="107" t="s">
        <v>427</v>
      </c>
      <c r="C40" s="114" t="s">
        <v>38</v>
      </c>
      <c r="D40" s="110" t="s">
        <v>322</v>
      </c>
      <c r="E40" s="109" t="s">
        <v>1411</v>
      </c>
      <c r="F40" s="111" t="s">
        <v>9</v>
      </c>
      <c r="G40" s="112" t="s">
        <v>10</v>
      </c>
      <c r="H40" s="112" t="s">
        <v>541</v>
      </c>
      <c r="I40" s="112" t="s">
        <v>539</v>
      </c>
      <c r="J40" s="112" t="s">
        <v>270</v>
      </c>
      <c r="K40" s="224"/>
      <c r="L40" s="228"/>
      <c r="M40" s="221"/>
      <c r="N40" s="124">
        <v>32.700000000000003</v>
      </c>
      <c r="O40" s="124">
        <v>11</v>
      </c>
      <c r="P40" s="124">
        <v>16.600000000000001</v>
      </c>
      <c r="Q40" s="124">
        <v>16.399999999999999</v>
      </c>
      <c r="R40" s="124">
        <v>5.3</v>
      </c>
      <c r="S40" s="124">
        <v>6.5</v>
      </c>
      <c r="T40" s="124">
        <v>26</v>
      </c>
      <c r="U40" s="124">
        <v>-1.4</v>
      </c>
      <c r="V40" s="124">
        <v>26.1</v>
      </c>
      <c r="W40" s="124">
        <v>47.4</v>
      </c>
      <c r="X40" s="124">
        <v>28.2</v>
      </c>
      <c r="Y40" s="136" t="s">
        <v>652</v>
      </c>
      <c r="Z40" s="122"/>
      <c r="AA40" s="122"/>
      <c r="AB40" s="127">
        <v>16.3</v>
      </c>
      <c r="AC40" s="136" t="s">
        <v>1273</v>
      </c>
      <c r="AD40" s="122"/>
      <c r="AE40" s="127">
        <v>11</v>
      </c>
      <c r="AF40" s="136" t="s">
        <v>1273</v>
      </c>
      <c r="AG40" s="122"/>
      <c r="AH40" s="122">
        <v>15.2</v>
      </c>
      <c r="AI40" s="139" t="s">
        <v>695</v>
      </c>
      <c r="AJ40" s="122"/>
      <c r="AK40" s="122"/>
      <c r="AL40" s="122"/>
      <c r="AM40" s="122"/>
      <c r="AN40" s="122"/>
      <c r="AO40" s="122">
        <v>18.3</v>
      </c>
      <c r="AP40" s="139" t="s">
        <v>525</v>
      </c>
      <c r="AQ40" s="122"/>
      <c r="AR40" s="122">
        <v>7.1999999999996502</v>
      </c>
      <c r="AS40" s="126">
        <v>1</v>
      </c>
      <c r="AT40" s="139" t="s">
        <v>1070</v>
      </c>
      <c r="AU40" s="122"/>
      <c r="AV40" s="122"/>
      <c r="AW40" s="122"/>
      <c r="AX40" s="122">
        <v>7.7</v>
      </c>
      <c r="AY40" s="139" t="s">
        <v>1069</v>
      </c>
      <c r="AZ40" s="121">
        <v>-4.9000000000000004</v>
      </c>
      <c r="BA40" s="463" t="s">
        <v>1068</v>
      </c>
      <c r="BB40" s="122"/>
      <c r="BC40" s="122">
        <v>2.2000000000000002</v>
      </c>
      <c r="BD40" s="139" t="s">
        <v>1069</v>
      </c>
      <c r="BE40" s="121">
        <f ca="1">INDIRECT(ADDRESS(MATCH($B40,'【別紙1】標高（入力）'!$B:$B,0),'【別紙1】標高（入力）'!AE$2,4,TRUE,"【別紙1】標高（入力）"))</f>
        <v>5.5000000000000604</v>
      </c>
      <c r="BF40" s="633" t="s">
        <v>1337</v>
      </c>
      <c r="BG40" s="632" t="str">
        <f ca="1">INDIRECT(ADDRESS(MATCH($B40,'【別紙1】標高（入力）'!$B:$B,0),'【別紙1】標高（入力）'!AG$2,4,TRUE,"【別紙1】標高（入力）"))</f>
        <v/>
      </c>
      <c r="BH40" s="632" t="str">
        <f ca="1">INDIRECT(ADDRESS(MATCH($B40,'【別紙1】標高（入力）'!$B:$B,0),'【別紙1】標高（入力）'!AH$2,4,TRUE,"【別紙1】標高（入力）"))</f>
        <v/>
      </c>
      <c r="BI40" s="569">
        <f ca="1">INDIRECT(ADDRESS(MATCH($B40,'【別紙1】標高（入力）'!$B:$B,0),'【別紙1】標高（入力）'!AI$2,4,TRUE,"【別紙1】標高（入力）"))</f>
        <v>8.1999999999999851</v>
      </c>
      <c r="BJ40" s="598" t="str">
        <f t="shared" ca="1" si="8"/>
        <v>-</v>
      </c>
      <c r="BK40" s="604">
        <f t="shared" ca="1" si="9"/>
        <v>302.49999999999972</v>
      </c>
      <c r="BL40" s="600" t="str">
        <f ca="1">INDIRECT(ADDRESS(MATCH($B40,'【別紙1】標高（入力）'!$B:$B,0),'【別紙1】標高（入力）'!$N$2,4,TRUE,"【別紙1】標高（入力）"))</f>
        <v>R5</v>
      </c>
      <c r="BM40" s="342">
        <f ca="1">INDIRECT(ADDRESS(MATCH($B40,'【別紙1】標高（入力）'!$B:$B,0),'【別紙1】標高（入力）'!$O$2,4,TRUE,"【別紙1】標高（入力）"))</f>
        <v>3.5232000000000001</v>
      </c>
      <c r="BN40" s="392"/>
    </row>
    <row r="41" spans="1:66" ht="15.95" customHeight="1">
      <c r="A41" s="119">
        <v>226</v>
      </c>
      <c r="B41" s="107" t="s">
        <v>428</v>
      </c>
      <c r="C41" s="114" t="s">
        <v>38</v>
      </c>
      <c r="D41" s="110" t="s">
        <v>322</v>
      </c>
      <c r="E41" s="597" t="s">
        <v>1412</v>
      </c>
      <c r="F41" s="111" t="s">
        <v>9</v>
      </c>
      <c r="G41" s="112" t="s">
        <v>10</v>
      </c>
      <c r="H41" s="112" t="s">
        <v>64</v>
      </c>
      <c r="I41" s="112" t="s">
        <v>539</v>
      </c>
      <c r="J41" s="112" t="s">
        <v>270</v>
      </c>
      <c r="K41" s="224"/>
      <c r="L41" s="228"/>
      <c r="M41" s="221"/>
      <c r="N41" s="124">
        <v>8.5</v>
      </c>
      <c r="O41" s="136" t="s">
        <v>636</v>
      </c>
      <c r="P41" s="127">
        <v>9.9</v>
      </c>
      <c r="Q41" s="124">
        <v>19.2</v>
      </c>
      <c r="R41" s="124">
        <v>-3.4</v>
      </c>
      <c r="S41" s="124">
        <v>-5.0999999999999996</v>
      </c>
      <c r="T41" s="124">
        <v>13.7</v>
      </c>
      <c r="U41" s="124">
        <v>-6.9</v>
      </c>
      <c r="V41" s="124">
        <v>20.399999999999999</v>
      </c>
      <c r="W41" s="124">
        <v>18.8</v>
      </c>
      <c r="X41" s="124">
        <v>8.4</v>
      </c>
      <c r="Y41" s="136" t="s">
        <v>652</v>
      </c>
      <c r="Z41" s="122"/>
      <c r="AA41" s="122"/>
      <c r="AB41" s="127">
        <v>-0.4</v>
      </c>
      <c r="AC41" s="136" t="s">
        <v>1273</v>
      </c>
      <c r="AD41" s="122"/>
      <c r="AE41" s="127">
        <v>2.8</v>
      </c>
      <c r="AF41" s="136" t="s">
        <v>1273</v>
      </c>
      <c r="AG41" s="122"/>
      <c r="AH41" s="122">
        <v>11.7</v>
      </c>
      <c r="AI41" s="139" t="s">
        <v>695</v>
      </c>
      <c r="AJ41" s="122"/>
      <c r="AK41" s="122"/>
      <c r="AL41" s="122"/>
      <c r="AM41" s="122"/>
      <c r="AN41" s="122"/>
      <c r="AO41" s="122">
        <v>16.5</v>
      </c>
      <c r="AP41" s="139" t="s">
        <v>525</v>
      </c>
      <c r="AQ41" s="122"/>
      <c r="AR41" s="122">
        <v>5.6000000000002697</v>
      </c>
      <c r="AS41" s="139" t="s">
        <v>1072</v>
      </c>
      <c r="AT41" s="122"/>
      <c r="AU41" s="122"/>
      <c r="AV41" s="122"/>
      <c r="AW41" s="122"/>
      <c r="AX41" s="122">
        <v>6.5</v>
      </c>
      <c r="AY41" s="139" t="s">
        <v>1070</v>
      </c>
      <c r="AZ41" s="122"/>
      <c r="BA41" s="460"/>
      <c r="BB41" s="122"/>
      <c r="BC41" s="122">
        <v>0.5</v>
      </c>
      <c r="BD41" s="634" t="s">
        <v>1515</v>
      </c>
      <c r="BE41" s="632" t="str">
        <f ca="1">INDIRECT(ADDRESS(MATCH($B41,'【別紙1】標高（入力）'!$B:$B,0),'【別紙1】標高（入力）'!AE$2,4,TRUE,"【別紙1】標高（入力）"))</f>
        <v/>
      </c>
      <c r="BF41" s="632" t="str">
        <f ca="1">INDIRECT(ADDRESS(MATCH($B41,'【別紙1】標高（入力）'!$B:$B,0),'【別紙1】標高（入力）'!AF$2,4,TRUE,"【別紙1】標高（入力）"))</f>
        <v/>
      </c>
      <c r="BG41" s="632" t="str">
        <f ca="1">INDIRECT(ADDRESS(MATCH($B41,'【別紙1】標高（入力）'!$B:$B,0),'【別紙1】標高（入力）'!AG$2,4,TRUE,"【別紙1】標高（入力）"))</f>
        <v/>
      </c>
      <c r="BH41" s="569" t="str">
        <f ca="1">INDIRECT(ADDRESS(MATCH($B41,'【別紙1】標高（入力）'!$B:$B,0),'【別紙1】標高（入力）'!AH$2,4,TRUE,"【別紙1】標高（入力）"))</f>
        <v/>
      </c>
      <c r="BI41" s="569">
        <f ca="1">INDIRECT(ADDRESS(MATCH($B41,'【別紙1】標高（入力）'!$B:$B,0),'【別紙1】標高（入力）'!AI$2,4,TRUE,"【別紙1】標高（入力）"))</f>
        <v>10.800000000000587</v>
      </c>
      <c r="BJ41" s="598" t="str">
        <f t="shared" ca="1" si="0"/>
        <v>-</v>
      </c>
      <c r="BK41" s="604">
        <f t="shared" ca="1" si="1"/>
        <v>126.70000000000026</v>
      </c>
      <c r="BL41" s="602" t="str">
        <f ca="1">INDIRECT(ADDRESS(MATCH($B41,'【別紙1】標高（入力）'!$B:$B,0),'【別紙1】標高（入力）'!$N$2,4,TRUE,"【別紙1】標高（入力）"))</f>
        <v>R5</v>
      </c>
      <c r="BM41" s="342">
        <f ca="1">INDIRECT(ADDRESS(MATCH($B41,'【別紙1】標高（入力）'!$B:$B,0),'【別紙1】標高（入力）'!$O$2,4,TRUE,"【別紙1】標高（入力）"))</f>
        <v>5.3735999999999997</v>
      </c>
      <c r="BN41" s="392"/>
    </row>
    <row r="42" spans="1:66" ht="15.95" customHeight="1">
      <c r="A42" s="119">
        <v>227</v>
      </c>
      <c r="B42" s="107" t="s">
        <v>429</v>
      </c>
      <c r="C42" s="114" t="s">
        <v>38</v>
      </c>
      <c r="D42" s="110" t="s">
        <v>323</v>
      </c>
      <c r="E42" s="109" t="s">
        <v>85</v>
      </c>
      <c r="F42" s="111" t="s">
        <v>9</v>
      </c>
      <c r="G42" s="112" t="s">
        <v>73</v>
      </c>
      <c r="H42" s="112" t="s">
        <v>64</v>
      </c>
      <c r="I42" s="112" t="s">
        <v>539</v>
      </c>
      <c r="J42" s="112" t="s">
        <v>270</v>
      </c>
      <c r="K42" s="224"/>
      <c r="L42" s="228"/>
      <c r="M42" s="228"/>
      <c r="N42" s="221"/>
      <c r="O42" s="136" t="s">
        <v>636</v>
      </c>
      <c r="P42" s="127">
        <v>6.6</v>
      </c>
      <c r="Q42" s="124">
        <v>3.5</v>
      </c>
      <c r="R42" s="124">
        <v>3.1</v>
      </c>
      <c r="S42" s="124">
        <v>-4</v>
      </c>
      <c r="T42" s="124">
        <v>4.5</v>
      </c>
      <c r="U42" s="136" t="s">
        <v>636</v>
      </c>
      <c r="V42" s="127">
        <v>0</v>
      </c>
      <c r="W42" s="136" t="s">
        <v>679</v>
      </c>
      <c r="X42" s="122"/>
      <c r="Y42" s="122"/>
      <c r="Z42" s="122"/>
      <c r="AA42" s="122"/>
      <c r="AB42" s="127">
        <v>-1</v>
      </c>
      <c r="AC42" s="136" t="s">
        <v>1273</v>
      </c>
      <c r="AD42" s="122"/>
      <c r="AE42" s="127">
        <v>0.7</v>
      </c>
      <c r="AF42" s="136" t="s">
        <v>1273</v>
      </c>
      <c r="AG42" s="122"/>
      <c r="AH42" s="122">
        <v>2.2999999999999998</v>
      </c>
      <c r="AI42" s="139" t="s">
        <v>695</v>
      </c>
      <c r="AJ42" s="122"/>
      <c r="AK42" s="122"/>
      <c r="AL42" s="122"/>
      <c r="AM42" s="122"/>
      <c r="AN42" s="122"/>
      <c r="AO42" s="122">
        <v>9.1999999999999993</v>
      </c>
      <c r="AP42" s="139" t="s">
        <v>525</v>
      </c>
      <c r="AQ42" s="122"/>
      <c r="AR42" s="122">
        <v>1.39999999999985</v>
      </c>
      <c r="AS42" s="139" t="s">
        <v>1072</v>
      </c>
      <c r="AT42" s="122"/>
      <c r="AU42" s="122"/>
      <c r="AV42" s="122"/>
      <c r="AW42" s="122"/>
      <c r="AX42" s="122">
        <v>5.0999999999999996</v>
      </c>
      <c r="AY42" s="139" t="s">
        <v>1070</v>
      </c>
      <c r="AZ42" s="122"/>
      <c r="BA42" s="460"/>
      <c r="BB42" s="122"/>
      <c r="BC42" s="122">
        <v>2.5</v>
      </c>
      <c r="BD42" s="125" t="str">
        <f ca="1">INDIRECT(ADDRESS(MATCH($B42,'【別紙1】標高（入力）'!$B:$B,0),'【別紙1】標高（入力）'!AD$2,4,TRUE,"【別紙1】標高（入力）"))</f>
        <v/>
      </c>
      <c r="BE42" s="122" t="str">
        <f ca="1">INDIRECT(ADDRESS(MATCH($B42,'【別紙1】標高（入力）'!$B:$B,0),'【別紙1】標高（入力）'!AE$2,4,TRUE,"【別紙1】標高（入力）"))</f>
        <v/>
      </c>
      <c r="BF42" s="122" t="str">
        <f ca="1">INDIRECT(ADDRESS(MATCH($B42,'【別紙1】標高（入力）'!$B:$B,0),'【別紙1】標高（入力）'!AF$2,4,TRUE,"【別紙1】標高（入力）"))</f>
        <v/>
      </c>
      <c r="BG42" s="122" t="str">
        <f ca="1">INDIRECT(ADDRESS(MATCH($B42,'【別紙1】標高（入力）'!$B:$B,0),'【別紙1】標高（入力）'!AG$2,4,TRUE,"【別紙1】標高（入力）"))</f>
        <v/>
      </c>
      <c r="BH42" s="624" t="str">
        <f ca="1">INDIRECT(ADDRESS(MATCH($B42,'【別紙1】標高（入力）'!$B:$B,0),'【別紙1】標高（入力）'!AH$2,4,TRUE,"【別紙1】標高（入力）"))</f>
        <v/>
      </c>
      <c r="BI42" s="624"/>
      <c r="BJ42" s="598" t="str">
        <f t="shared" ca="1" si="0"/>
        <v>-</v>
      </c>
      <c r="BK42" s="604">
        <f t="shared" ca="1" si="1"/>
        <v>33.899999999999849</v>
      </c>
      <c r="BL42" s="602" t="str">
        <f ca="1">INDIRECT(ADDRESS(MATCH($B42,'【別紙1】標高（入力）'!$B:$B,0),'【別紙1】標高（入力）'!$N$2,4,TRUE,"【別紙1】標高（入力）"))</f>
        <v>H29</v>
      </c>
      <c r="BM42" s="342">
        <f ca="1">INDIRECT(ADDRESS(MATCH($B42,'【別紙1】標高（入力）'!$B:$B,0),'【別紙1】標高（入力）'!$O$2,4,TRUE,"【別紙1】標高（入力）"))</f>
        <v>2.3431999999999999</v>
      </c>
      <c r="BN42" s="392"/>
    </row>
    <row r="43" spans="1:66" ht="15.95" customHeight="1">
      <c r="A43" s="119">
        <v>228</v>
      </c>
      <c r="B43" s="107" t="s">
        <v>1174</v>
      </c>
      <c r="C43" s="114" t="s">
        <v>38</v>
      </c>
      <c r="D43" s="110" t="s">
        <v>654</v>
      </c>
      <c r="E43" s="109" t="s">
        <v>257</v>
      </c>
      <c r="F43" s="111" t="s">
        <v>9</v>
      </c>
      <c r="G43" s="112" t="s">
        <v>73</v>
      </c>
      <c r="H43" s="112" t="s">
        <v>541</v>
      </c>
      <c r="I43" s="112" t="s">
        <v>54</v>
      </c>
      <c r="J43" s="112" t="s">
        <v>270</v>
      </c>
      <c r="K43" s="224"/>
      <c r="L43" s="228"/>
      <c r="M43" s="228"/>
      <c r="N43" s="221"/>
      <c r="O43" s="136" t="s">
        <v>636</v>
      </c>
      <c r="P43" s="127">
        <v>12</v>
      </c>
      <c r="Q43" s="124">
        <v>4.4000000000000004</v>
      </c>
      <c r="R43" s="124">
        <v>3.4</v>
      </c>
      <c r="S43" s="124">
        <v>-3.3</v>
      </c>
      <c r="T43" s="224"/>
      <c r="U43" s="228"/>
      <c r="V43" s="411" t="s">
        <v>47</v>
      </c>
      <c r="W43" s="405" t="s">
        <v>87</v>
      </c>
      <c r="X43" s="224"/>
      <c r="Y43" s="228"/>
      <c r="Z43" s="228"/>
      <c r="AA43" s="228"/>
      <c r="AB43" s="411" t="s">
        <v>47</v>
      </c>
      <c r="AC43" s="135" t="s">
        <v>1273</v>
      </c>
      <c r="AD43" s="122"/>
      <c r="AE43" s="127">
        <v>2.5</v>
      </c>
      <c r="AF43" s="136" t="s">
        <v>1273</v>
      </c>
      <c r="AG43" s="122"/>
      <c r="AH43" s="122">
        <v>2.9</v>
      </c>
      <c r="AI43" s="139" t="s">
        <v>695</v>
      </c>
      <c r="AJ43" s="122"/>
      <c r="AK43" s="122"/>
      <c r="AL43" s="122"/>
      <c r="AM43" s="122"/>
      <c r="AN43" s="122"/>
      <c r="AO43" s="122">
        <v>12.4</v>
      </c>
      <c r="AP43" s="139" t="s">
        <v>525</v>
      </c>
      <c r="AQ43" s="122"/>
      <c r="AR43" s="122">
        <v>7.2999999999998604</v>
      </c>
      <c r="AS43" s="139" t="s">
        <v>1072</v>
      </c>
      <c r="AT43" s="122"/>
      <c r="AU43" s="122"/>
      <c r="AV43" s="122"/>
      <c r="AW43" s="122"/>
      <c r="AX43" s="122">
        <v>5.9</v>
      </c>
      <c r="AY43" s="139" t="s">
        <v>1070</v>
      </c>
      <c r="AZ43" s="122"/>
      <c r="BA43" s="460"/>
      <c r="BB43" s="122"/>
      <c r="BC43" s="122">
        <v>2.5</v>
      </c>
      <c r="BD43" s="125" t="str">
        <f ca="1">INDIRECT(ADDRESS(MATCH($B43,'【別紙1】標高（入力）'!$B:$B,0),'【別紙1】標高（入力）'!AD$2,4,TRUE,"【別紙1】標高（入力）"))</f>
        <v/>
      </c>
      <c r="BE43" s="122" t="str">
        <f ca="1">INDIRECT(ADDRESS(MATCH($B43,'【別紙1】標高（入力）'!$B:$B,0),'【別紙1】標高（入力）'!AE$2,4,TRUE,"【別紙1】標高（入力）"))</f>
        <v/>
      </c>
      <c r="BF43" s="122" t="str">
        <f ca="1">INDIRECT(ADDRESS(MATCH($B43,'【別紙1】標高（入力）'!$B:$B,0),'【別紙1】標高（入力）'!AF$2,4,TRUE,"【別紙1】標高（入力）"))</f>
        <v/>
      </c>
      <c r="BG43" s="122" t="str">
        <f ca="1">INDIRECT(ADDRESS(MATCH($B43,'【別紙1】標高（入力）'!$B:$B,0),'【別紙1】標高（入力）'!AG$2,4,TRUE,"【別紙1】標高（入力）"))</f>
        <v/>
      </c>
      <c r="BH43" s="624" t="str">
        <f ca="1">INDIRECT(ADDRESS(MATCH($B43,'【別紙1】標高（入力）'!$B:$B,0),'【別紙1】標高（入力）'!AH$2,4,TRUE,"【別紙1】標高（入力）"))</f>
        <v/>
      </c>
      <c r="BI43" s="624"/>
      <c r="BJ43" s="598" t="str">
        <f t="shared" ca="1" si="0"/>
        <v>-</v>
      </c>
      <c r="BK43" s="604">
        <f t="shared" ca="1" si="1"/>
        <v>49.999999999999858</v>
      </c>
      <c r="BL43" s="602" t="str">
        <f ca="1">INDIRECT(ADDRESS(MATCH($B43,'【別紙1】標高（入力）'!$B:$B,0),'【別紙1】標高（入力）'!$N$2,4,TRUE,"【別紙1】標高（入力）"))</f>
        <v>H29</v>
      </c>
      <c r="BM43" s="342">
        <f ca="1">INDIRECT(ADDRESS(MATCH($B43,'【別紙1】標高（入力）'!$B:$B,0),'【別紙1】標高（入力）'!$O$2,4,TRUE,"【別紙1】標高（入力）"))</f>
        <v>3.8801000000000001</v>
      </c>
      <c r="BN43" s="392"/>
    </row>
    <row r="44" spans="1:66" ht="15.95" customHeight="1">
      <c r="A44" s="119">
        <v>229</v>
      </c>
      <c r="B44" s="107" t="s">
        <v>431</v>
      </c>
      <c r="C44" s="114" t="s">
        <v>38</v>
      </c>
      <c r="D44" s="110" t="s">
        <v>682</v>
      </c>
      <c r="E44" s="109" t="s">
        <v>89</v>
      </c>
      <c r="F44" s="111" t="s">
        <v>9</v>
      </c>
      <c r="G44" s="112" t="s">
        <v>73</v>
      </c>
      <c r="H44" s="112" t="s">
        <v>541</v>
      </c>
      <c r="I44" s="112" t="s">
        <v>54</v>
      </c>
      <c r="J44" s="112" t="s">
        <v>270</v>
      </c>
      <c r="K44" s="224"/>
      <c r="L44" s="228"/>
      <c r="M44" s="228"/>
      <c r="N44" s="221"/>
      <c r="O44" s="136" t="s">
        <v>636</v>
      </c>
      <c r="P44" s="127">
        <v>14.7</v>
      </c>
      <c r="Q44" s="124">
        <v>19.5</v>
      </c>
      <c r="R44" s="124">
        <v>7.9</v>
      </c>
      <c r="S44" s="124">
        <v>0.4</v>
      </c>
      <c r="T44" s="124">
        <v>39</v>
      </c>
      <c r="U44" s="224"/>
      <c r="V44" s="411" t="s">
        <v>47</v>
      </c>
      <c r="W44" s="405" t="s">
        <v>87</v>
      </c>
      <c r="X44" s="224"/>
      <c r="Y44" s="228"/>
      <c r="Z44" s="228"/>
      <c r="AA44" s="228"/>
      <c r="AB44" s="411" t="s">
        <v>47</v>
      </c>
      <c r="AC44" s="135" t="s">
        <v>1273</v>
      </c>
      <c r="AD44" s="122"/>
      <c r="AE44" s="127">
        <v>13.2</v>
      </c>
      <c r="AF44" s="136" t="s">
        <v>1273</v>
      </c>
      <c r="AG44" s="122"/>
      <c r="AH44" s="122">
        <v>12.5</v>
      </c>
      <c r="AI44" s="139" t="s">
        <v>695</v>
      </c>
      <c r="AJ44" s="122"/>
      <c r="AK44" s="122"/>
      <c r="AL44" s="122"/>
      <c r="AM44" s="122"/>
      <c r="AN44" s="122"/>
      <c r="AO44" s="122">
        <v>27.7</v>
      </c>
      <c r="AP44" s="139" t="s">
        <v>525</v>
      </c>
      <c r="AQ44" s="122"/>
      <c r="AR44" s="122">
        <v>4.8000000000003604</v>
      </c>
      <c r="AS44" s="139" t="s">
        <v>1072</v>
      </c>
      <c r="AT44" s="122"/>
      <c r="AU44" s="122"/>
      <c r="AV44" s="122"/>
      <c r="AW44" s="122"/>
      <c r="AX44" s="122">
        <v>9.6999999999999993</v>
      </c>
      <c r="AY44" s="139" t="s">
        <v>1070</v>
      </c>
      <c r="AZ44" s="122"/>
      <c r="BA44" s="460"/>
      <c r="BB44" s="122"/>
      <c r="BC44" s="122">
        <v>7.4</v>
      </c>
      <c r="BD44" s="125" t="str">
        <f ca="1">INDIRECT(ADDRESS(MATCH($B44,'【別紙1】標高（入力）'!$B:$B,0),'【別紙1】標高（入力）'!AD$2,4,TRUE,"【別紙1】標高（入力）"))</f>
        <v/>
      </c>
      <c r="BE44" s="122" t="str">
        <f ca="1">INDIRECT(ADDRESS(MATCH($B44,'【別紙1】標高（入力）'!$B:$B,0),'【別紙1】標高（入力）'!AE$2,4,TRUE,"【別紙1】標高（入力）"))</f>
        <v/>
      </c>
      <c r="BF44" s="122" t="str">
        <f ca="1">INDIRECT(ADDRESS(MATCH($B44,'【別紙1】標高（入力）'!$B:$B,0),'【別紙1】標高（入力）'!AF$2,4,TRUE,"【別紙1】標高（入力）"))</f>
        <v/>
      </c>
      <c r="BG44" s="122" t="str">
        <f ca="1">INDIRECT(ADDRESS(MATCH($B44,'【別紙1】標高（入力）'!$B:$B,0),'【別紙1】標高（入力）'!AG$2,4,TRUE,"【別紙1】標高（入力）"))</f>
        <v/>
      </c>
      <c r="BH44" s="624" t="str">
        <f ca="1">INDIRECT(ADDRESS(MATCH($B44,'【別紙1】標高（入力）'!$B:$B,0),'【別紙1】標高（入力）'!AH$2,4,TRUE,"【別紙1】標高（入力）"))</f>
        <v/>
      </c>
      <c r="BI44" s="624"/>
      <c r="BJ44" s="598" t="str">
        <f t="shared" ca="1" si="0"/>
        <v>-</v>
      </c>
      <c r="BK44" s="604">
        <f t="shared" ca="1" si="1"/>
        <v>156.80000000000035</v>
      </c>
      <c r="BL44" s="602" t="str">
        <f ca="1">INDIRECT(ADDRESS(MATCH($B44,'【別紙1】標高（入力）'!$B:$B,0),'【別紙1】標高（入力）'!$N$2,4,TRUE,"【別紙1】標高（入力）"))</f>
        <v>H29</v>
      </c>
      <c r="BM44" s="342">
        <f ca="1">INDIRECT(ADDRESS(MATCH($B44,'【別紙1】標高（入力）'!$B:$B,0),'【別紙1】標高（入力）'!$O$2,4,TRUE,"【別紙1】標高（入力）"))</f>
        <v>4.8811999999999998</v>
      </c>
      <c r="BN44" s="392"/>
    </row>
    <row r="45" spans="1:66" ht="15.95" customHeight="1">
      <c r="A45" s="119">
        <v>230</v>
      </c>
      <c r="B45" s="107" t="s">
        <v>432</v>
      </c>
      <c r="C45" s="114" t="s">
        <v>38</v>
      </c>
      <c r="D45" s="110" t="s">
        <v>683</v>
      </c>
      <c r="E45" s="597" t="s">
        <v>1413</v>
      </c>
      <c r="F45" s="111" t="s">
        <v>9</v>
      </c>
      <c r="G45" s="112" t="s">
        <v>31</v>
      </c>
      <c r="H45" s="112" t="s">
        <v>541</v>
      </c>
      <c r="I45" s="112" t="s">
        <v>539</v>
      </c>
      <c r="J45" s="112" t="s">
        <v>270</v>
      </c>
      <c r="K45" s="224"/>
      <c r="L45" s="228"/>
      <c r="M45" s="228"/>
      <c r="N45" s="228"/>
      <c r="O45" s="228"/>
      <c r="P45" s="221"/>
      <c r="Q45" s="124">
        <v>8.1</v>
      </c>
      <c r="R45" s="124">
        <v>7.2</v>
      </c>
      <c r="S45" s="124">
        <v>16.2</v>
      </c>
      <c r="T45" s="124">
        <v>15.5</v>
      </c>
      <c r="U45" s="124">
        <v>-3.1</v>
      </c>
      <c r="V45" s="124">
        <v>9.1999999999999993</v>
      </c>
      <c r="W45" s="136" t="s">
        <v>679</v>
      </c>
      <c r="X45" s="122"/>
      <c r="Y45" s="122"/>
      <c r="Z45" s="122"/>
      <c r="AA45" s="122"/>
      <c r="AB45" s="127">
        <v>12.8</v>
      </c>
      <c r="AC45" s="136" t="s">
        <v>1273</v>
      </c>
      <c r="AD45" s="122"/>
      <c r="AE45" s="127">
        <v>3.9</v>
      </c>
      <c r="AF45" s="136" t="s">
        <v>1273</v>
      </c>
      <c r="AG45" s="122"/>
      <c r="AH45" s="122">
        <v>7</v>
      </c>
      <c r="AI45" s="139" t="s">
        <v>695</v>
      </c>
      <c r="AJ45" s="122"/>
      <c r="AK45" s="122"/>
      <c r="AL45" s="122"/>
      <c r="AM45" s="122"/>
      <c r="AN45" s="122"/>
      <c r="AO45" s="122">
        <v>16.5</v>
      </c>
      <c r="AP45" s="139" t="s">
        <v>525</v>
      </c>
      <c r="AQ45" s="122"/>
      <c r="AR45" s="122">
        <v>1.9000000000000099</v>
      </c>
      <c r="AS45" s="126">
        <v>0.7</v>
      </c>
      <c r="AT45" s="139" t="s">
        <v>1070</v>
      </c>
      <c r="AU45" s="122"/>
      <c r="AV45" s="122"/>
      <c r="AW45" s="122"/>
      <c r="AX45" s="122">
        <v>7.1</v>
      </c>
      <c r="AY45" s="139" t="s">
        <v>1069</v>
      </c>
      <c r="AZ45" s="121">
        <v>-0.3</v>
      </c>
      <c r="BA45" s="463" t="s">
        <v>1068</v>
      </c>
      <c r="BB45" s="122"/>
      <c r="BC45" s="122">
        <v>3.4</v>
      </c>
      <c r="BD45" s="139" t="s">
        <v>1069</v>
      </c>
      <c r="BE45" s="121">
        <f ca="1">INDIRECT(ADDRESS(MATCH($B45,'【別紙1】標高（入力）'!$B:$B,0),'【別紙1】標高（入力）'!AE$2,4,TRUE,"【別紙1】標高（入力）"))</f>
        <v>0.19999999999997797</v>
      </c>
      <c r="BF45" s="122" t="str">
        <f ca="1">INDIRECT(ADDRESS(MATCH($B45,'【別紙1】標高（入力）'!$B:$B,0),'【別紙1】標高（入力）'!AF$2,4,TRUE,"【別紙1】標高（入力）"))</f>
        <v/>
      </c>
      <c r="BG45" s="122" t="str">
        <f ca="1">INDIRECT(ADDRESS(MATCH($B45,'【別紙1】標高（入力）'!$B:$B,0),'【別紙1】標高（入力）'!AG$2,4,TRUE,"【別紙1】標高（入力）"))</f>
        <v/>
      </c>
      <c r="BH45" s="122" t="str">
        <f ca="1">INDIRECT(ADDRESS(MATCH($B45,'【別紙1】標高（入力）'!$B:$B,0),'【別紙1】標高（入力）'!AH$2,4,TRUE,"【別紙1】標高（入力）"))</f>
        <v/>
      </c>
      <c r="BI45" s="624"/>
      <c r="BJ45" s="598" t="str">
        <f t="shared" ref="BJ45:BJ46" ca="1" si="10">IF(AND(ISNUMBER(BI45)*1,ISNUMBER(BH45)*1),BI45,"-")</f>
        <v>-</v>
      </c>
      <c r="BK45" s="604">
        <f t="shared" ref="BK45:BK46" ca="1" si="11">SUM(K45:BI45)</f>
        <v>106.29999999999998</v>
      </c>
      <c r="BL45" s="600" t="str">
        <f ca="1">INDIRECT(ADDRESS(MATCH($B45,'【別紙1】標高（入力）'!$B:$B,0),'【別紙1】標高（入力）'!$N$2,4,TRUE,"【別紙1】標高（入力）"))</f>
        <v>R1</v>
      </c>
      <c r="BM45" s="342">
        <f ca="1">INDIRECT(ADDRESS(MATCH($B45,'【別紙1】標高（入力）'!$B:$B,0),'【別紙1】標高（入力）'!$O$2,4,TRUE,"【別紙1】標高（入力）"))</f>
        <v>3.0802</v>
      </c>
      <c r="BN45" s="392"/>
    </row>
    <row r="46" spans="1:66" ht="15.95" customHeight="1">
      <c r="A46" s="119">
        <v>231</v>
      </c>
      <c r="B46" s="107" t="s">
        <v>1175</v>
      </c>
      <c r="C46" s="114" t="s">
        <v>38</v>
      </c>
      <c r="D46" s="110" t="s">
        <v>324</v>
      </c>
      <c r="E46" s="597" t="s">
        <v>1414</v>
      </c>
      <c r="F46" s="111" t="s">
        <v>9</v>
      </c>
      <c r="G46" s="112" t="s">
        <v>31</v>
      </c>
      <c r="H46" s="112" t="s">
        <v>64</v>
      </c>
      <c r="I46" s="112" t="s">
        <v>54</v>
      </c>
      <c r="J46" s="112" t="s">
        <v>270</v>
      </c>
      <c r="K46" s="224"/>
      <c r="L46" s="228"/>
      <c r="M46" s="228"/>
      <c r="N46" s="228"/>
      <c r="O46" s="228"/>
      <c r="P46" s="228"/>
      <c r="Q46" s="411" t="s">
        <v>1270</v>
      </c>
      <c r="R46" s="127">
        <v>14.3</v>
      </c>
      <c r="S46" s="123">
        <v>7.4</v>
      </c>
      <c r="T46" s="411" t="s">
        <v>1270</v>
      </c>
      <c r="U46" s="135" t="s">
        <v>93</v>
      </c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1">
        <v>250.2</v>
      </c>
      <c r="AI46" s="139" t="s">
        <v>695</v>
      </c>
      <c r="AJ46" s="122"/>
      <c r="AK46" s="122"/>
      <c r="AL46" s="122"/>
      <c r="AM46" s="122"/>
      <c r="AN46" s="122"/>
      <c r="AO46" s="122">
        <v>82.2</v>
      </c>
      <c r="AP46" s="139" t="s">
        <v>1071</v>
      </c>
      <c r="AQ46" s="122"/>
      <c r="AR46" s="122"/>
      <c r="AS46" s="121">
        <v>118.9</v>
      </c>
      <c r="AT46" s="122">
        <v>44</v>
      </c>
      <c r="AU46" s="125">
        <v>19.2</v>
      </c>
      <c r="AV46" s="125">
        <v>6.6</v>
      </c>
      <c r="AW46" s="139" t="s">
        <v>1069</v>
      </c>
      <c r="AX46" s="122">
        <v>14.7</v>
      </c>
      <c r="AY46" s="139" t="s">
        <v>1069</v>
      </c>
      <c r="AZ46" s="121">
        <v>15.4</v>
      </c>
      <c r="BA46" s="463" t="s">
        <v>1068</v>
      </c>
      <c r="BB46" s="122"/>
      <c r="BC46" s="122">
        <v>9.1</v>
      </c>
      <c r="BD46" s="139" t="s">
        <v>1069</v>
      </c>
      <c r="BE46" s="121">
        <f ca="1">INDIRECT(ADDRESS(MATCH($B46,'【別紙1】標高（入力）'!$B:$B,0),'【別紙1】標高（入力）'!AE$2,4,TRUE,"【別紙1】標高（入力）"))</f>
        <v>9.2999999999996419</v>
      </c>
      <c r="BF46" s="122" t="str">
        <f ca="1">INDIRECT(ADDRESS(MATCH($B46,'【別紙1】標高（入力）'!$B:$B,0),'【別紙1】標高（入力）'!AF$2,4,TRUE,"【別紙1】標高（入力）"))</f>
        <v/>
      </c>
      <c r="BG46" s="122" t="str">
        <f ca="1">INDIRECT(ADDRESS(MATCH($B46,'【別紙1】標高（入力）'!$B:$B,0),'【別紙1】標高（入力）'!AG$2,4,TRUE,"【別紙1】標高（入力）"))</f>
        <v/>
      </c>
      <c r="BH46" s="122" t="str">
        <f ca="1">INDIRECT(ADDRESS(MATCH($B46,'【別紙1】標高（入力）'!$B:$B,0),'【別紙1】標高（入力）'!AH$2,4,TRUE,"【別紙1】標高（入力）"))</f>
        <v/>
      </c>
      <c r="BI46" s="624"/>
      <c r="BJ46" s="598" t="str">
        <f t="shared" ca="1" si="10"/>
        <v>-</v>
      </c>
      <c r="BK46" s="604">
        <f t="shared" ca="1" si="11"/>
        <v>591.29999999999973</v>
      </c>
      <c r="BL46" s="600" t="str">
        <f ca="1">INDIRECT(ADDRESS(MATCH($B46,'【別紙1】標高（入力）'!$B:$B,0),'【別紙1】標高（入力）'!$N$2,4,TRUE,"【別紙1】標高（入力）"))</f>
        <v>R1</v>
      </c>
      <c r="BM46" s="340">
        <f ca="1">INDIRECT(ADDRESS(MATCH($B46,'【別紙1】標高（入力）'!$B:$B,0),'【別紙1】標高（入力）'!$O$2,4,TRUE,"【別紙1】標高（入力）"))</f>
        <v>5.2644000000000002</v>
      </c>
      <c r="BN46" s="392"/>
    </row>
    <row r="47" spans="1:66" s="231" customFormat="1" ht="15.95" customHeight="1">
      <c r="A47" s="214">
        <v>232</v>
      </c>
      <c r="B47" s="215" t="s">
        <v>433</v>
      </c>
      <c r="C47" s="216" t="s">
        <v>38</v>
      </c>
      <c r="D47" s="217" t="s">
        <v>327</v>
      </c>
      <c r="E47" s="218" t="s">
        <v>299</v>
      </c>
      <c r="F47" s="219" t="s">
        <v>9</v>
      </c>
      <c r="G47" s="220" t="s">
        <v>31</v>
      </c>
      <c r="H47" s="220" t="s">
        <v>64</v>
      </c>
      <c r="I47" s="220" t="s">
        <v>539</v>
      </c>
      <c r="J47" s="220" t="s">
        <v>270</v>
      </c>
      <c r="K47" s="224"/>
      <c r="L47" s="228"/>
      <c r="M47" s="228"/>
      <c r="N47" s="228"/>
      <c r="O47" s="228"/>
      <c r="P47" s="221"/>
      <c r="Q47" s="124">
        <v>48.6</v>
      </c>
      <c r="R47" s="124">
        <v>12.4</v>
      </c>
      <c r="S47" s="124">
        <v>8.9</v>
      </c>
      <c r="T47" s="124">
        <v>20.6</v>
      </c>
      <c r="U47" s="124">
        <v>0.2</v>
      </c>
      <c r="V47" s="124">
        <v>27.2</v>
      </c>
      <c r="W47" s="224"/>
      <c r="X47" s="228"/>
      <c r="Y47" s="228"/>
      <c r="Z47" s="228"/>
      <c r="AA47" s="228"/>
      <c r="AB47" s="228"/>
      <c r="AC47" s="228"/>
      <c r="AD47" s="228"/>
      <c r="AE47" s="228"/>
      <c r="AF47" s="411" t="s">
        <v>1271</v>
      </c>
      <c r="AG47" s="228"/>
      <c r="AH47" s="228"/>
      <c r="AI47" s="232" t="s">
        <v>247</v>
      </c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462"/>
      <c r="BB47" s="228"/>
      <c r="BC47" s="228"/>
      <c r="BD47" s="228"/>
      <c r="BE47" s="228"/>
      <c r="BF47" s="228"/>
      <c r="BG47" s="228"/>
      <c r="BH47" s="625"/>
      <c r="BI47" s="625"/>
      <c r="BJ47" s="599" t="str">
        <f t="shared" si="0"/>
        <v>-</v>
      </c>
      <c r="BK47" s="605">
        <f t="shared" si="1"/>
        <v>117.9</v>
      </c>
      <c r="BL47" s="603" t="s">
        <v>1188</v>
      </c>
      <c r="BM47" s="344" t="s">
        <v>1189</v>
      </c>
      <c r="BN47" s="393" t="s">
        <v>730</v>
      </c>
    </row>
    <row r="48" spans="1:66" ht="15.95" customHeight="1">
      <c r="A48" s="119">
        <v>233</v>
      </c>
      <c r="B48" s="107" t="s">
        <v>434</v>
      </c>
      <c r="C48" s="114" t="s">
        <v>38</v>
      </c>
      <c r="D48" s="110" t="s">
        <v>328</v>
      </c>
      <c r="E48" s="109" t="s">
        <v>299</v>
      </c>
      <c r="F48" s="111" t="s">
        <v>9</v>
      </c>
      <c r="G48" s="112" t="s">
        <v>31</v>
      </c>
      <c r="H48" s="112" t="s">
        <v>64</v>
      </c>
      <c r="I48" s="112" t="s">
        <v>54</v>
      </c>
      <c r="J48" s="112" t="s">
        <v>270</v>
      </c>
      <c r="K48" s="224"/>
      <c r="L48" s="228"/>
      <c r="M48" s="228"/>
      <c r="N48" s="228"/>
      <c r="O48" s="228"/>
      <c r="P48" s="221"/>
      <c r="Q48" s="124">
        <v>20.399999999999999</v>
      </c>
      <c r="R48" s="124">
        <v>0.8</v>
      </c>
      <c r="S48" s="124">
        <v>4.9000000000000004</v>
      </c>
      <c r="T48" s="124">
        <v>5.9</v>
      </c>
      <c r="U48" s="124">
        <v>-5.6</v>
      </c>
      <c r="V48" s="124">
        <v>47.6</v>
      </c>
      <c r="W48" s="136" t="s">
        <v>95</v>
      </c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1">
        <v>61.9</v>
      </c>
      <c r="AI48" s="139" t="s">
        <v>695</v>
      </c>
      <c r="AJ48" s="122"/>
      <c r="AK48" s="122"/>
      <c r="AL48" s="122"/>
      <c r="AM48" s="122"/>
      <c r="AN48" s="122"/>
      <c r="AO48" s="122">
        <v>25.8</v>
      </c>
      <c r="AP48" s="139" t="s">
        <v>525</v>
      </c>
      <c r="AQ48" s="122"/>
      <c r="AR48" s="122">
        <v>6.0999999999999899</v>
      </c>
      <c r="AS48" s="126">
        <v>3</v>
      </c>
      <c r="AT48" s="139" t="s">
        <v>1070</v>
      </c>
      <c r="AU48" s="122"/>
      <c r="AV48" s="122"/>
      <c r="AW48" s="122"/>
      <c r="AX48" s="121">
        <v>12.9</v>
      </c>
      <c r="AY48" s="139" t="s">
        <v>1069</v>
      </c>
      <c r="AZ48" s="121">
        <v>0.7</v>
      </c>
      <c r="BA48" s="463" t="s">
        <v>1068</v>
      </c>
      <c r="BB48" s="122"/>
      <c r="BC48" s="122">
        <v>4</v>
      </c>
      <c r="BD48" s="139" t="s">
        <v>1069</v>
      </c>
      <c r="BE48" s="121">
        <f ca="1">INDIRECT(ADDRESS(MATCH($B48,'【別紙1】標高（入力）'!$B:$B,0),'【別紙1】標高（入力）'!AE$2,4,TRUE,"【別紙1】標高（入力）"))</f>
        <v>1.7999999999998018</v>
      </c>
      <c r="BF48" s="122" t="str">
        <f ca="1">INDIRECT(ADDRESS(MATCH($B48,'【別紙1】標高（入力）'!$B:$B,0),'【別紙1】標高（入力）'!AF$2,4,TRUE,"【別紙1】標高（入力）"))</f>
        <v/>
      </c>
      <c r="BG48" s="122" t="str">
        <f ca="1">INDIRECT(ADDRESS(MATCH($B48,'【別紙1】標高（入力）'!$B:$B,0),'【別紙1】標高（入力）'!AG$2,4,TRUE,"【別紙1】標高（入力）"))</f>
        <v/>
      </c>
      <c r="BH48" s="122" t="str">
        <f ca="1">INDIRECT(ADDRESS(MATCH($B48,'【別紙1】標高（入力）'!$B:$B,0),'【別紙1】標高（入力）'!AH$2,4,TRUE,"【別紙1】標高（入力）"))</f>
        <v/>
      </c>
      <c r="BI48" s="624"/>
      <c r="BJ48" s="598" t="str">
        <f t="shared" ref="BJ48:BJ50" ca="1" si="12">IF(AND(ISNUMBER(BI48)*1,ISNUMBER(BH48)*1),BI48,"-")</f>
        <v>-</v>
      </c>
      <c r="BK48" s="604">
        <f t="shared" ref="BK48:BK50" ca="1" si="13">SUM(K48:BI48)</f>
        <v>190.19999999999982</v>
      </c>
      <c r="BL48" s="600" t="str">
        <f ca="1">INDIRECT(ADDRESS(MATCH($B48,'【別紙1】標高（入力）'!$B:$B,0),'【別紙1】標高（入力）'!$N$2,4,TRUE,"【別紙1】標高（入力）"))</f>
        <v>R1</v>
      </c>
      <c r="BM48" s="342">
        <f ca="1">INDIRECT(ADDRESS(MATCH($B48,'【別紙1】標高（入力）'!$B:$B,0),'【別紙1】標高（入力）'!$O$2,4,TRUE,"【別紙1】標高（入力）"))</f>
        <v>3.5861000000000001</v>
      </c>
      <c r="BN48" s="392"/>
    </row>
    <row r="49" spans="1:66" ht="15.95" customHeight="1">
      <c r="A49" s="119">
        <v>301</v>
      </c>
      <c r="B49" s="591">
        <v>8413</v>
      </c>
      <c r="C49" s="114" t="s">
        <v>96</v>
      </c>
      <c r="D49" s="110" t="s">
        <v>558</v>
      </c>
      <c r="E49" s="597" t="s">
        <v>1415</v>
      </c>
      <c r="F49" s="111" t="s">
        <v>12</v>
      </c>
      <c r="G49" s="112" t="s">
        <v>19</v>
      </c>
      <c r="H49" s="112" t="s">
        <v>541</v>
      </c>
      <c r="I49" s="112" t="s">
        <v>312</v>
      </c>
      <c r="J49" s="112" t="s">
        <v>264</v>
      </c>
      <c r="K49" s="222"/>
      <c r="L49" s="136" t="s">
        <v>636</v>
      </c>
      <c r="M49" s="127">
        <v>34.1</v>
      </c>
      <c r="N49" s="124">
        <v>-3.4</v>
      </c>
      <c r="O49" s="124">
        <v>6.7</v>
      </c>
      <c r="P49" s="124">
        <v>10.199999999999999</v>
      </c>
      <c r="Q49" s="124">
        <v>8.3000000000000007</v>
      </c>
      <c r="R49" s="124">
        <v>3</v>
      </c>
      <c r="S49" s="124">
        <v>-6.1</v>
      </c>
      <c r="T49" s="124">
        <v>4.0999999999999996</v>
      </c>
      <c r="U49" s="124">
        <v>2.9</v>
      </c>
      <c r="V49" s="124">
        <v>5</v>
      </c>
      <c r="W49" s="124">
        <v>21.5</v>
      </c>
      <c r="X49" s="124">
        <v>1</v>
      </c>
      <c r="Y49" s="124">
        <v>-8.6999999999999993</v>
      </c>
      <c r="Z49" s="124">
        <v>4.5999999999999996</v>
      </c>
      <c r="AA49" s="124">
        <v>5</v>
      </c>
      <c r="AB49" s="124">
        <v>-2.8</v>
      </c>
      <c r="AC49" s="124">
        <v>8.9</v>
      </c>
      <c r="AD49" s="124">
        <v>-2.2000000000000002</v>
      </c>
      <c r="AE49" s="124">
        <v>-3.1</v>
      </c>
      <c r="AF49" s="124">
        <v>4.2</v>
      </c>
      <c r="AG49" s="124">
        <v>5.4</v>
      </c>
      <c r="AH49" s="123">
        <v>-5.3</v>
      </c>
      <c r="AI49" s="126">
        <v>8.6999999999999993</v>
      </c>
      <c r="AJ49" s="128">
        <v>2.9</v>
      </c>
      <c r="AK49" s="128">
        <v>-1.9</v>
      </c>
      <c r="AL49" s="124">
        <v>4.2</v>
      </c>
      <c r="AM49" s="123">
        <v>1.7999999999993599</v>
      </c>
      <c r="AN49" s="124">
        <v>-7.2</v>
      </c>
      <c r="AO49" s="122">
        <v>7.5</v>
      </c>
      <c r="AP49" s="126">
        <v>4.5999999999999996</v>
      </c>
      <c r="AQ49" s="135" t="s">
        <v>637</v>
      </c>
      <c r="AR49" s="122">
        <v>34.000000000000703</v>
      </c>
      <c r="AS49" s="126">
        <v>3.7</v>
      </c>
      <c r="AT49" s="125">
        <v>3.7</v>
      </c>
      <c r="AU49" s="125">
        <v>-4.3</v>
      </c>
      <c r="AV49" s="125">
        <v>0.8</v>
      </c>
      <c r="AW49" s="125">
        <v>2.2000000000000002</v>
      </c>
      <c r="AX49" s="125">
        <v>3.2</v>
      </c>
      <c r="AY49" s="125">
        <v>-1.9</v>
      </c>
      <c r="AZ49" s="126">
        <v>0.8</v>
      </c>
      <c r="BA49" s="461">
        <v>-0.1</v>
      </c>
      <c r="BB49" s="135" t="s">
        <v>1069</v>
      </c>
      <c r="BC49" s="122">
        <v>0</v>
      </c>
      <c r="BD49" s="125">
        <f ca="1">INDIRECT(ADDRESS(MATCH($B49,'【別紙1】標高（入力）'!$B:$B,0),'【別紙1】標高（入力）'!AD$2,4,TRUE,"【別紙1】標高（入力）"))</f>
        <v>2.3999999999997357</v>
      </c>
      <c r="BE49" s="126">
        <f ca="1">INDIRECT(ADDRESS(MATCH($B49,'【別紙1】標高（入力）'!$B:$B,0),'【別紙1】標高（入力）'!AE$2,4,TRUE,"【別紙1】標高（入力）"))</f>
        <v>3.2999999999994145</v>
      </c>
      <c r="BF49" s="121">
        <f ca="1">INDIRECT(ADDRESS(MATCH($B49,'【別紙1】標高（入力）'!$B:$B,0),'【別紙1】標高（入力）'!AF$2,4,TRUE,"【別紙1】標高（入力）"))</f>
        <v>0.89999999999967883</v>
      </c>
      <c r="BG49" s="122" t="str">
        <f ca="1">INDIRECT(ADDRESS(MATCH($B49,'【別紙1】標高（入力）'!$B:$B,0),'【別紙1】標高（入力）'!AG$2,4,TRUE,"【別紙1】標高（入力）"))</f>
        <v/>
      </c>
      <c r="BH49" s="122" t="str">
        <f ca="1">INDIRECT(ADDRESS(MATCH($B49,'【別紙1】標高（入力）'!$B:$B,0),'【別紙1】標高（入力）'!AH$2,4,TRUE,"【別紙1】標高（入力）"))</f>
        <v/>
      </c>
      <c r="BI49" s="624"/>
      <c r="BJ49" s="598" t="str">
        <f t="shared" ca="1" si="12"/>
        <v>-</v>
      </c>
      <c r="BK49" s="604">
        <f t="shared" ca="1" si="13"/>
        <v>162.59999999999889</v>
      </c>
      <c r="BL49" s="600" t="str">
        <f ca="1">INDIRECT(ADDRESS(MATCH($B49,'【別紙1】標高（入力）'!$B:$B,0),'【別紙1】標高（入力）'!$N$2,4,TRUE,"【別紙1】標高（入力）"))</f>
        <v>R2</v>
      </c>
      <c r="BM49" s="342">
        <f ca="1">INDIRECT(ADDRESS(MATCH($B49,'【別紙1】標高（入力）'!$B:$B,0),'【別紙1】標高（入力）'!$O$2,4,TRUE,"【別紙1】標高（入力）"))</f>
        <v>13.252000000000001</v>
      </c>
      <c r="BN49" s="392"/>
    </row>
    <row r="50" spans="1:66" ht="15.95" customHeight="1">
      <c r="A50" s="119">
        <v>302</v>
      </c>
      <c r="B50" s="591">
        <v>8414</v>
      </c>
      <c r="C50" s="114" t="s">
        <v>96</v>
      </c>
      <c r="D50" s="110" t="s">
        <v>569</v>
      </c>
      <c r="E50" s="109" t="s">
        <v>99</v>
      </c>
      <c r="F50" s="111" t="s">
        <v>12</v>
      </c>
      <c r="G50" s="112" t="s">
        <v>73</v>
      </c>
      <c r="H50" s="112" t="s">
        <v>541</v>
      </c>
      <c r="I50" s="112" t="s">
        <v>539</v>
      </c>
      <c r="J50" s="112" t="s">
        <v>264</v>
      </c>
      <c r="K50" s="224"/>
      <c r="L50" s="228"/>
      <c r="M50" s="228"/>
      <c r="N50" s="221"/>
      <c r="O50" s="136" t="s">
        <v>636</v>
      </c>
      <c r="P50" s="127">
        <v>31.8</v>
      </c>
      <c r="Q50" s="124">
        <v>22.8</v>
      </c>
      <c r="R50" s="124">
        <v>13.6</v>
      </c>
      <c r="S50" s="124">
        <v>-11.2</v>
      </c>
      <c r="T50" s="124">
        <v>18</v>
      </c>
      <c r="U50" s="124">
        <v>17.600000000000001</v>
      </c>
      <c r="V50" s="124">
        <v>65.2</v>
      </c>
      <c r="W50" s="124">
        <v>35.200000000000003</v>
      </c>
      <c r="X50" s="124">
        <v>-0.8</v>
      </c>
      <c r="Y50" s="124">
        <v>-5.2</v>
      </c>
      <c r="Z50" s="136" t="s">
        <v>1273</v>
      </c>
      <c r="AA50" s="122"/>
      <c r="AB50" s="127">
        <v>13</v>
      </c>
      <c r="AC50" s="124">
        <v>22.6</v>
      </c>
      <c r="AD50" s="124">
        <v>-2.8</v>
      </c>
      <c r="AE50" s="124">
        <v>-0.7</v>
      </c>
      <c r="AF50" s="124">
        <v>6.3</v>
      </c>
      <c r="AG50" s="124">
        <v>7</v>
      </c>
      <c r="AH50" s="123">
        <v>-2.2000000000000002</v>
      </c>
      <c r="AI50" s="396">
        <v>13.5</v>
      </c>
      <c r="AJ50" s="124">
        <v>2.7</v>
      </c>
      <c r="AK50" s="124">
        <v>4.8</v>
      </c>
      <c r="AL50" s="124">
        <v>1.9</v>
      </c>
      <c r="AM50" s="123">
        <v>4.7999999999994696</v>
      </c>
      <c r="AN50" s="124">
        <v>-6.1</v>
      </c>
      <c r="AO50" s="122">
        <v>11.7</v>
      </c>
      <c r="AP50" s="126">
        <v>16.2</v>
      </c>
      <c r="AQ50" s="122">
        <v>1.3</v>
      </c>
      <c r="AR50" s="125">
        <v>6.4</v>
      </c>
      <c r="AS50" s="139" t="s">
        <v>1071</v>
      </c>
      <c r="AT50" s="122"/>
      <c r="AU50" s="122"/>
      <c r="AV50" s="122">
        <v>13.2</v>
      </c>
      <c r="AW50" s="125">
        <v>-1</v>
      </c>
      <c r="AX50" s="125">
        <v>7.2</v>
      </c>
      <c r="AY50" s="125">
        <v>-2.5</v>
      </c>
      <c r="AZ50" s="139" t="s">
        <v>1071</v>
      </c>
      <c r="BA50" s="460"/>
      <c r="BB50" s="122"/>
      <c r="BC50" s="122">
        <v>4</v>
      </c>
      <c r="BD50" s="125">
        <f ca="1">INDIRECT(ADDRESS(MATCH($B50,'【別紙1】標高（入力）'!$B:$B,0),'【別紙1】標高（入力）'!AD$2,4,TRUE,"【別紙1】標高（入力）"))</f>
        <v>3.3999999999991815</v>
      </c>
      <c r="BE50" s="125" t="str">
        <f ca="1">INDIRECT(ADDRESS(MATCH($B50,'【別紙1】標高（入力）'!$B:$B,0),'【別紙1】標高（入力）'!AE$2,4,TRUE,"【別紙1】標高（入力）"))</f>
        <v/>
      </c>
      <c r="BF50" s="122" t="str">
        <f ca="1">INDIRECT(ADDRESS(MATCH($B50,'【別紙1】標高（入力）'!$B:$B,0),'【別紙1】標高（入力）'!AF$2,4,TRUE,"【別紙1】標高（入力）"))</f>
        <v/>
      </c>
      <c r="BG50" s="122" t="str">
        <f ca="1">INDIRECT(ADDRESS(MATCH($B50,'【別紙1】標高（入力）'!$B:$B,0),'【別紙1】標高（入力）'!AG$2,4,TRUE,"【別紙1】標高（入力）"))</f>
        <v/>
      </c>
      <c r="BH50" s="122" t="str">
        <f ca="1">INDIRECT(ADDRESS(MATCH($B50,'【別紙1】標高（入力）'!$B:$B,0),'【別紙1】標高（入力）'!AH$2,4,TRUE,"【別紙1】標高（入力）"))</f>
        <v/>
      </c>
      <c r="BI50" s="624"/>
      <c r="BJ50" s="598" t="str">
        <f t="shared" ca="1" si="12"/>
        <v>-</v>
      </c>
      <c r="BK50" s="604">
        <f t="shared" ca="1" si="13"/>
        <v>311.69999999999862</v>
      </c>
      <c r="BL50" s="602" t="str">
        <f ca="1">INDIRECT(ADDRESS(MATCH($B50,'【別紙1】標高（入力）'!$B:$B,0),'【別紙1】標高（入力）'!$N$2,4,TRUE,"【別紙1】標高（入力）"))</f>
        <v>H30</v>
      </c>
      <c r="BM50" s="342">
        <f ca="1">INDIRECT(ADDRESS(MATCH($B50,'【別紙1】標高（入力）'!$B:$B,0),'【別紙1】標高（入力）'!$O$2,4,TRUE,"【別紙1】標高（入力）"))</f>
        <v>8.8207000000000004</v>
      </c>
      <c r="BN50" s="392"/>
    </row>
    <row r="51" spans="1:66" ht="15.95" customHeight="1">
      <c r="A51" s="119">
        <v>303</v>
      </c>
      <c r="B51" s="107" t="s">
        <v>403</v>
      </c>
      <c r="C51" s="114" t="s">
        <v>96</v>
      </c>
      <c r="D51" s="110" t="s">
        <v>100</v>
      </c>
      <c r="E51" s="597" t="s">
        <v>1416</v>
      </c>
      <c r="F51" s="111" t="s">
        <v>9</v>
      </c>
      <c r="G51" s="112" t="s">
        <v>10</v>
      </c>
      <c r="H51" s="112" t="s">
        <v>541</v>
      </c>
      <c r="I51" s="112" t="s">
        <v>539</v>
      </c>
      <c r="J51" s="112" t="s">
        <v>270</v>
      </c>
      <c r="K51" s="224"/>
      <c r="L51" s="228"/>
      <c r="M51" s="221"/>
      <c r="N51" s="124">
        <v>18</v>
      </c>
      <c r="O51" s="124">
        <v>2.8</v>
      </c>
      <c r="P51" s="124">
        <v>15.8</v>
      </c>
      <c r="Q51" s="124">
        <v>15</v>
      </c>
      <c r="R51" s="124">
        <v>5</v>
      </c>
      <c r="S51" s="124">
        <v>-2.5</v>
      </c>
      <c r="T51" s="124">
        <v>10.3</v>
      </c>
      <c r="U51" s="124">
        <v>3.3</v>
      </c>
      <c r="V51" s="124">
        <v>15.1</v>
      </c>
      <c r="W51" s="124">
        <v>31.9</v>
      </c>
      <c r="X51" s="124">
        <v>2.7</v>
      </c>
      <c r="Y51" s="124">
        <v>-7.8</v>
      </c>
      <c r="Z51" s="124">
        <v>5.9</v>
      </c>
      <c r="AA51" s="124">
        <v>6.3</v>
      </c>
      <c r="AB51" s="124">
        <v>-2.2000000000000002</v>
      </c>
      <c r="AC51" s="124">
        <v>10.5</v>
      </c>
      <c r="AD51" s="124">
        <v>-3</v>
      </c>
      <c r="AE51" s="124">
        <v>-1</v>
      </c>
      <c r="AF51" s="124">
        <v>6.8</v>
      </c>
      <c r="AG51" s="124">
        <v>5.0999999999999996</v>
      </c>
      <c r="AH51" s="123">
        <v>-4.8</v>
      </c>
      <c r="AI51" s="396">
        <v>10.199999999999999</v>
      </c>
      <c r="AJ51" s="124">
        <v>-1.9</v>
      </c>
      <c r="AK51" s="124">
        <v>0.3</v>
      </c>
      <c r="AL51" s="123">
        <v>3.9</v>
      </c>
      <c r="AM51" s="123">
        <v>4.3000000000006402</v>
      </c>
      <c r="AN51" s="124">
        <v>-7.4</v>
      </c>
      <c r="AO51" s="122">
        <v>9.6999999999999993</v>
      </c>
      <c r="AP51" s="126">
        <v>4.4000000000000004</v>
      </c>
      <c r="AQ51" s="135" t="s">
        <v>637</v>
      </c>
      <c r="AR51" s="122">
        <v>1.80000000000113</v>
      </c>
      <c r="AS51" s="139" t="s">
        <v>1068</v>
      </c>
      <c r="AT51" s="122"/>
      <c r="AU51" s="122">
        <v>0.5</v>
      </c>
      <c r="AV51" s="126">
        <v>2.4</v>
      </c>
      <c r="AW51" s="125">
        <v>-2.2000000000000002</v>
      </c>
      <c r="AX51" s="125">
        <v>7.4</v>
      </c>
      <c r="AY51" s="139" t="s">
        <v>1070</v>
      </c>
      <c r="AZ51" s="122"/>
      <c r="BA51" s="460"/>
      <c r="BB51" s="122"/>
      <c r="BC51" s="122">
        <v>2.1</v>
      </c>
      <c r="BD51" s="634" t="s">
        <v>1515</v>
      </c>
      <c r="BE51" s="632" t="str">
        <f ca="1">INDIRECT(ADDRESS(MATCH($B51,'【別紙1】標高（入力）'!$B:$B,0),'【別紙1】標高（入力）'!AE$2,4,TRUE,"【別紙1】標高（入力）"))</f>
        <v/>
      </c>
      <c r="BF51" s="632" t="str">
        <f ca="1">INDIRECT(ADDRESS(MATCH($B51,'【別紙1】標高（入力）'!$B:$B,0),'【別紙1】標高（入力）'!AF$2,4,TRUE,"【別紙1】標高（入力）"))</f>
        <v/>
      </c>
      <c r="BG51" s="632" t="str">
        <f ca="1">INDIRECT(ADDRESS(MATCH($B51,'【別紙1】標高（入力）'!$B:$B,0),'【別紙1】標高（入力）'!AG$2,4,TRUE,"【別紙1】標高（入力）"))</f>
        <v/>
      </c>
      <c r="BH51" s="569" t="str">
        <f ca="1">INDIRECT(ADDRESS(MATCH($B51,'【別紙1】標高（入力）'!$B:$B,0),'【別紙1】標高（入力）'!AH$2,4,TRUE,"【別紙1】標高（入力）"))</f>
        <v/>
      </c>
      <c r="BI51" s="569">
        <f ca="1">INDIRECT(ADDRESS(MATCH($B51,'【別紙1】標高（入力）'!$B:$B,0),'【別紙1】標高（入力）'!AI$2,4,TRUE,"【別紙1】標高（入力）"))</f>
        <v>12.299999999999756</v>
      </c>
      <c r="BJ51" s="598" t="str">
        <f t="shared" ca="1" si="0"/>
        <v>-</v>
      </c>
      <c r="BK51" s="604">
        <f t="shared" ca="1" si="1"/>
        <v>168.70000000000175</v>
      </c>
      <c r="BL51" s="602" t="str">
        <f ca="1">INDIRECT(ADDRESS(MATCH($B51,'【別紙1】標高（入力）'!$B:$B,0),'【別紙1】標高（入力）'!$N$2,4,TRUE,"【別紙1】標高（入力）"))</f>
        <v>R5</v>
      </c>
      <c r="BM51" s="342">
        <f ca="1">INDIRECT(ADDRESS(MATCH($B51,'【別紙1】標高（入力）'!$B:$B,0),'【別紙1】標高（入力）'!$O$2,4,TRUE,"【別紙1】標高（入力）"))</f>
        <v>9.5541</v>
      </c>
      <c r="BN51" s="392"/>
    </row>
    <row r="52" spans="1:66" ht="15.95" customHeight="1">
      <c r="A52" s="119">
        <v>304</v>
      </c>
      <c r="B52" s="107" t="s">
        <v>381</v>
      </c>
      <c r="C52" s="114" t="s">
        <v>96</v>
      </c>
      <c r="D52" s="110" t="s">
        <v>655</v>
      </c>
      <c r="E52" s="109" t="s">
        <v>102</v>
      </c>
      <c r="F52" s="111" t="s">
        <v>9</v>
      </c>
      <c r="G52" s="112" t="s">
        <v>19</v>
      </c>
      <c r="H52" s="112" t="s">
        <v>541</v>
      </c>
      <c r="I52" s="112" t="s">
        <v>539</v>
      </c>
      <c r="J52" s="112" t="s">
        <v>264</v>
      </c>
      <c r="K52" s="222"/>
      <c r="L52" s="124">
        <v>20.3</v>
      </c>
      <c r="M52" s="124">
        <v>2.4</v>
      </c>
      <c r="N52" s="124">
        <v>-1.2</v>
      </c>
      <c r="O52" s="124">
        <v>8.1</v>
      </c>
      <c r="P52" s="124">
        <v>11.7</v>
      </c>
      <c r="Q52" s="124">
        <v>8.9</v>
      </c>
      <c r="R52" s="124">
        <v>1.9</v>
      </c>
      <c r="S52" s="124">
        <v>-7.1</v>
      </c>
      <c r="T52" s="124">
        <v>4.4000000000000004</v>
      </c>
      <c r="U52" s="124">
        <v>3.6</v>
      </c>
      <c r="V52" s="124">
        <v>19</v>
      </c>
      <c r="W52" s="124">
        <v>17.7</v>
      </c>
      <c r="X52" s="124">
        <v>-3.2</v>
      </c>
      <c r="Y52" s="124">
        <v>-8.1999999999999993</v>
      </c>
      <c r="Z52" s="124">
        <v>4.4000000000000004</v>
      </c>
      <c r="AA52" s="124">
        <v>8.6</v>
      </c>
      <c r="AB52" s="124">
        <v>-3.3</v>
      </c>
      <c r="AC52" s="124">
        <v>8.1999999999999993</v>
      </c>
      <c r="AD52" s="124">
        <v>-1.2</v>
      </c>
      <c r="AE52" s="124">
        <v>-3.7</v>
      </c>
      <c r="AF52" s="124">
        <v>4.9000000000000004</v>
      </c>
      <c r="AG52" s="124">
        <v>4.2</v>
      </c>
      <c r="AH52" s="123">
        <v>-3.6</v>
      </c>
      <c r="AI52" s="126">
        <v>9.5</v>
      </c>
      <c r="AJ52" s="128">
        <v>1.8</v>
      </c>
      <c r="AK52" s="128">
        <v>-1.4</v>
      </c>
      <c r="AL52" s="123">
        <v>1.2</v>
      </c>
      <c r="AM52" s="123">
        <v>3.0000000000001101</v>
      </c>
      <c r="AN52" s="124">
        <v>-7.5</v>
      </c>
      <c r="AO52" s="122">
        <v>6.4</v>
      </c>
      <c r="AP52" s="126">
        <v>4.2</v>
      </c>
      <c r="AQ52" s="122">
        <v>-0.1</v>
      </c>
      <c r="AR52" s="125">
        <v>0.4</v>
      </c>
      <c r="AS52" s="139" t="s">
        <v>1071</v>
      </c>
      <c r="AT52" s="122"/>
      <c r="AU52" s="122"/>
      <c r="AV52" s="122">
        <v>0.8</v>
      </c>
      <c r="AW52" s="125">
        <v>-0.1</v>
      </c>
      <c r="AX52" s="125">
        <v>4.5999999999999996</v>
      </c>
      <c r="AY52" s="125">
        <v>-2.8</v>
      </c>
      <c r="AZ52" s="139" t="s">
        <v>1071</v>
      </c>
      <c r="BA52" s="460"/>
      <c r="BB52" s="122"/>
      <c r="BC52" s="122">
        <v>0.5</v>
      </c>
      <c r="BD52" s="125">
        <f ca="1">INDIRECT(ADDRESS(MATCH($B52,'【別紙1】標高（入力）'!$B:$B,0),'【別紙1】標高（入力）'!AD$2,4,TRUE,"【別紙1】標高（入力）"))</f>
        <v>2.500000000001279</v>
      </c>
      <c r="BE52" s="125" t="str">
        <f ca="1">INDIRECT(ADDRESS(MATCH($B52,'【別紙1】標高（入力）'!$B:$B,0),'【別紙1】標高（入力）'!AE$2,4,TRUE,"【別紙1】標高（入力）"))</f>
        <v/>
      </c>
      <c r="BF52" s="122" t="str">
        <f ca="1">INDIRECT(ADDRESS(MATCH($B52,'【別紙1】標高（入力）'!$B:$B,0),'【別紙1】標高（入力）'!AF$2,4,TRUE,"【別紙1】標高（入力）"))</f>
        <v/>
      </c>
      <c r="BG52" s="122" t="str">
        <f ca="1">INDIRECT(ADDRESS(MATCH($B52,'【別紙1】標高（入力）'!$B:$B,0),'【別紙1】標高（入力）'!AG$2,4,TRUE,"【別紙1】標高（入力）"))</f>
        <v/>
      </c>
      <c r="BH52" s="122" t="str">
        <f ca="1">INDIRECT(ADDRESS(MATCH($B52,'【別紙1】標高（入力）'!$B:$B,0),'【別紙1】標高（入力）'!AH$2,4,TRUE,"【別紙1】標高（入力）"))</f>
        <v/>
      </c>
      <c r="BI52" s="624"/>
      <c r="BJ52" s="598" t="str">
        <f t="shared" ref="BJ52:BJ54" ca="1" si="14">IF(AND(ISNUMBER(BI52)*1,ISNUMBER(BH52)*1),BI52,"-")</f>
        <v>-</v>
      </c>
      <c r="BK52" s="604">
        <f t="shared" ref="BK52:BK54" ca="1" si="15">SUM(K52:BI52)</f>
        <v>119.80000000000142</v>
      </c>
      <c r="BL52" s="602" t="str">
        <f ca="1">INDIRECT(ADDRESS(MATCH($B52,'【別紙1】標高（入力）'!$B:$B,0),'【別紙1】標高（入力）'!$N$2,4,TRUE,"【別紙1】標高（入力）"))</f>
        <v>H30</v>
      </c>
      <c r="BM52" s="342">
        <f ca="1">INDIRECT(ADDRESS(MATCH($B52,'【別紙1】標高（入力）'!$B:$B,0),'【別紙1】標高（入力）'!$O$2,4,TRUE,"【別紙1】標高（入力）"))</f>
        <v>9.3439999999999994</v>
      </c>
      <c r="BN52" s="392"/>
    </row>
    <row r="53" spans="1:66" ht="15.95" customHeight="1">
      <c r="A53" s="119">
        <v>305</v>
      </c>
      <c r="B53" s="107" t="s">
        <v>402</v>
      </c>
      <c r="C53" s="114" t="s">
        <v>96</v>
      </c>
      <c r="D53" s="110" t="s">
        <v>103</v>
      </c>
      <c r="E53" s="109" t="s">
        <v>104</v>
      </c>
      <c r="F53" s="111" t="s">
        <v>9</v>
      </c>
      <c r="G53" s="112" t="s">
        <v>10</v>
      </c>
      <c r="H53" s="112" t="s">
        <v>541</v>
      </c>
      <c r="I53" s="112" t="s">
        <v>54</v>
      </c>
      <c r="J53" s="112" t="s">
        <v>264</v>
      </c>
      <c r="K53" s="224"/>
      <c r="L53" s="228"/>
      <c r="M53" s="221"/>
      <c r="N53" s="124">
        <v>14.5</v>
      </c>
      <c r="O53" s="124">
        <v>8.1</v>
      </c>
      <c r="P53" s="124">
        <v>20.2</v>
      </c>
      <c r="Q53" s="124">
        <v>17.3</v>
      </c>
      <c r="R53" s="124">
        <v>8.3000000000000007</v>
      </c>
      <c r="S53" s="124">
        <v>2.2999999999999998</v>
      </c>
      <c r="T53" s="124">
        <v>11.8</v>
      </c>
      <c r="U53" s="124">
        <v>3.5</v>
      </c>
      <c r="V53" s="124">
        <v>32.9</v>
      </c>
      <c r="W53" s="124">
        <v>67</v>
      </c>
      <c r="X53" s="124">
        <v>6.9</v>
      </c>
      <c r="Y53" s="124">
        <v>-3.8</v>
      </c>
      <c r="Z53" s="124">
        <v>2.6</v>
      </c>
      <c r="AA53" s="124">
        <v>10.6</v>
      </c>
      <c r="AB53" s="124">
        <v>-2.1</v>
      </c>
      <c r="AC53" s="124">
        <v>13.6</v>
      </c>
      <c r="AD53" s="124">
        <v>-1.9</v>
      </c>
      <c r="AE53" s="124">
        <v>-0.5</v>
      </c>
      <c r="AF53" s="124">
        <v>6.4</v>
      </c>
      <c r="AG53" s="124">
        <v>5.7</v>
      </c>
      <c r="AH53" s="123">
        <v>-0.6</v>
      </c>
      <c r="AI53" s="396">
        <v>10.8</v>
      </c>
      <c r="AJ53" s="124">
        <v>0.2</v>
      </c>
      <c r="AK53" s="124">
        <v>1.9</v>
      </c>
      <c r="AL53" s="124">
        <v>3.7</v>
      </c>
      <c r="AM53" s="123">
        <v>4.9999999999998899</v>
      </c>
      <c r="AN53" s="124">
        <v>-4.9000000000000004</v>
      </c>
      <c r="AO53" s="122">
        <v>7.8</v>
      </c>
      <c r="AP53" s="126">
        <v>6.3</v>
      </c>
      <c r="AQ53" s="135" t="s">
        <v>637</v>
      </c>
      <c r="AR53" s="122">
        <v>4.9999999999998899</v>
      </c>
      <c r="AS53" s="139" t="s">
        <v>1070</v>
      </c>
      <c r="AT53" s="122"/>
      <c r="AU53" s="122"/>
      <c r="AV53" s="122"/>
      <c r="AW53" s="122">
        <v>12.6</v>
      </c>
      <c r="AX53" s="125">
        <v>8.6</v>
      </c>
      <c r="AY53" s="139" t="s">
        <v>1070</v>
      </c>
      <c r="AZ53" s="122"/>
      <c r="BA53" s="460"/>
      <c r="BB53" s="122"/>
      <c r="BC53" s="122">
        <v>5.3</v>
      </c>
      <c r="BD53" s="125" t="s">
        <v>1382</v>
      </c>
      <c r="BE53" s="122" t="str">
        <f ca="1">INDIRECT(ADDRESS(MATCH($B53,'【別紙1】標高（入力）'!$B:$B,0),'【別紙1】標高（入力）'!AE$2,4,TRUE,"【別紙1】標高（入力）"))</f>
        <v/>
      </c>
      <c r="BF53" s="122" t="str">
        <f ca="1">INDIRECT(ADDRESS(MATCH($B53,'【別紙1】標高（入力）'!$B:$B,0),'【別紙1】標高（入力）'!AF$2,4,TRUE,"【別紙1】標高（入力）"))</f>
        <v/>
      </c>
      <c r="BG53" s="122" t="str">
        <f ca="1">INDIRECT(ADDRESS(MATCH($B53,'【別紙1】標高（入力）'!$B:$B,0),'【別紙1】標高（入力）'!AG$2,4,TRUE,"【別紙1】標高（入力）"))</f>
        <v/>
      </c>
      <c r="BH53" s="121">
        <f ca="1">INDIRECT(ADDRESS(MATCH($B53,'【別紙1】標高（入力）'!$B:$B,0),'【別紙1】標高（入力）'!AH$2,4,TRUE,"【別紙1】標高（入力）"))</f>
        <v>31.39999999999965</v>
      </c>
      <c r="BI53" s="624"/>
      <c r="BJ53" s="598" t="str">
        <f t="shared" ca="1" si="14"/>
        <v>-</v>
      </c>
      <c r="BK53" s="604">
        <f t="shared" ca="1" si="15"/>
        <v>316.49999999999943</v>
      </c>
      <c r="BL53" s="602" t="str">
        <f ca="1">INDIRECT(ADDRESS(MATCH($B53,'【別紙1】標高（入力）'!$B:$B,0),'【別紙1】標高（入力）'!$N$2,4,TRUE,"【別紙1】標高（入力）"))</f>
        <v>R4</v>
      </c>
      <c r="BM53" s="342">
        <f ca="1">INDIRECT(ADDRESS(MATCH($B53,'【別紙1】標高（入力）'!$B:$B,0),'【別紙1】標高（入力）'!$O$2,4,TRUE,"【別紙1】標高（入力）"))</f>
        <v>7.5693000000000001</v>
      </c>
      <c r="BN53" s="392"/>
    </row>
    <row r="54" spans="1:66" ht="15.95" customHeight="1">
      <c r="A54" s="119">
        <v>306</v>
      </c>
      <c r="B54" s="107" t="s">
        <v>380</v>
      </c>
      <c r="C54" s="114" t="s">
        <v>96</v>
      </c>
      <c r="D54" s="110" t="s">
        <v>570</v>
      </c>
      <c r="E54" s="109" t="s">
        <v>105</v>
      </c>
      <c r="F54" s="111" t="s">
        <v>9</v>
      </c>
      <c r="G54" s="112" t="s">
        <v>19</v>
      </c>
      <c r="H54" s="112" t="s">
        <v>541</v>
      </c>
      <c r="I54" s="112" t="s">
        <v>54</v>
      </c>
      <c r="J54" s="112" t="s">
        <v>264</v>
      </c>
      <c r="K54" s="222"/>
      <c r="L54" s="124">
        <v>32.700000000000003</v>
      </c>
      <c r="M54" s="124">
        <v>35.1</v>
      </c>
      <c r="N54" s="124">
        <v>39.799999999999997</v>
      </c>
      <c r="O54" s="124">
        <v>-9.3000000000000007</v>
      </c>
      <c r="P54" s="124">
        <v>13.9</v>
      </c>
      <c r="Q54" s="124">
        <v>53.5</v>
      </c>
      <c r="R54" s="124">
        <v>20.100000000000001</v>
      </c>
      <c r="S54" s="124">
        <v>2</v>
      </c>
      <c r="T54" s="124">
        <v>31.2</v>
      </c>
      <c r="U54" s="124">
        <v>28.1</v>
      </c>
      <c r="V54" s="124">
        <v>83.9</v>
      </c>
      <c r="W54" s="124">
        <v>46.3</v>
      </c>
      <c r="X54" s="124">
        <v>9.4</v>
      </c>
      <c r="Y54" s="124">
        <v>-10.8</v>
      </c>
      <c r="Z54" s="124">
        <v>1.3</v>
      </c>
      <c r="AA54" s="124">
        <v>10.5</v>
      </c>
      <c r="AB54" s="124">
        <v>-2.8</v>
      </c>
      <c r="AC54" s="124">
        <v>9.6999999999999993</v>
      </c>
      <c r="AD54" s="124">
        <v>0</v>
      </c>
      <c r="AE54" s="124">
        <v>-2.6</v>
      </c>
      <c r="AF54" s="124">
        <v>6</v>
      </c>
      <c r="AG54" s="124">
        <v>6.6</v>
      </c>
      <c r="AH54" s="123">
        <v>-2.6</v>
      </c>
      <c r="AI54" s="126">
        <v>10.1</v>
      </c>
      <c r="AJ54" s="128">
        <v>4.7</v>
      </c>
      <c r="AK54" s="128">
        <v>-0.6</v>
      </c>
      <c r="AL54" s="123">
        <v>2.9</v>
      </c>
      <c r="AM54" s="123">
        <v>7.10000000000033</v>
      </c>
      <c r="AN54" s="124">
        <v>-4.9000000000000004</v>
      </c>
      <c r="AO54" s="122">
        <v>7.3</v>
      </c>
      <c r="AP54" s="126">
        <v>6.3</v>
      </c>
      <c r="AQ54" s="122">
        <v>3.5</v>
      </c>
      <c r="AR54" s="125">
        <v>5.8</v>
      </c>
      <c r="AS54" s="139" t="s">
        <v>1070</v>
      </c>
      <c r="AT54" s="122"/>
      <c r="AU54" s="122"/>
      <c r="AV54" s="122"/>
      <c r="AW54" s="122">
        <v>14.1</v>
      </c>
      <c r="AX54" s="125">
        <v>6.7</v>
      </c>
      <c r="AY54" s="125">
        <v>-3.2</v>
      </c>
      <c r="AZ54" s="139" t="s">
        <v>1071</v>
      </c>
      <c r="BA54" s="460"/>
      <c r="BB54" s="122"/>
      <c r="BC54" s="122">
        <v>1.7</v>
      </c>
      <c r="BD54" s="125">
        <f ca="1">INDIRECT(ADDRESS(MATCH($B54,'【別紙1】標高（入力）'!$B:$B,0),'【別紙1】標高（入力）'!AD$2,4,TRUE,"【別紙1】標高（入力）"))</f>
        <v>5.7000000000000384</v>
      </c>
      <c r="BE54" s="125" t="str">
        <f ca="1">INDIRECT(ADDRESS(MATCH($B54,'【別紙1】標高（入力）'!$B:$B,0),'【別紙1】標高（入力）'!AE$2,4,TRUE,"【別紙1】標高（入力）"))</f>
        <v/>
      </c>
      <c r="BF54" s="122" t="str">
        <f ca="1">INDIRECT(ADDRESS(MATCH($B54,'【別紙1】標高（入力）'!$B:$B,0),'【別紙1】標高（入力）'!AF$2,4,TRUE,"【別紙1】標高（入力）"))</f>
        <v/>
      </c>
      <c r="BG54" s="122" t="str">
        <f ca="1">INDIRECT(ADDRESS(MATCH($B54,'【別紙1】標高（入力）'!$B:$B,0),'【別紙1】標高（入力）'!AG$2,4,TRUE,"【別紙1】標高（入力）"))</f>
        <v/>
      </c>
      <c r="BH54" s="122" t="str">
        <f ca="1">INDIRECT(ADDRESS(MATCH($B54,'【別紙1】標高（入力）'!$B:$B,0),'【別紙1】標高（入力）'!AH$2,4,TRUE,"【別紙1】標高（入力）"))</f>
        <v/>
      </c>
      <c r="BI54" s="624"/>
      <c r="BJ54" s="598" t="str">
        <f t="shared" ca="1" si="14"/>
        <v>-</v>
      </c>
      <c r="BK54" s="604">
        <f t="shared" ca="1" si="15"/>
        <v>469.20000000000033</v>
      </c>
      <c r="BL54" s="602" t="str">
        <f ca="1">INDIRECT(ADDRESS(MATCH($B54,'【別紙1】標高（入力）'!$B:$B,0),'【別紙1】標高（入力）'!$N$2,4,TRUE,"【別紙1】標高（入力）"))</f>
        <v>H30</v>
      </c>
      <c r="BM54" s="342">
        <f ca="1">INDIRECT(ADDRESS(MATCH($B54,'【別紙1】標高（入力）'!$B:$B,0),'【別紙1】標高（入力）'!$O$2,4,TRUE,"【別紙1】標高（入力）"))</f>
        <v>6.9653</v>
      </c>
      <c r="BN54" s="392"/>
    </row>
    <row r="55" spans="1:66" ht="15.95" customHeight="1">
      <c r="A55" s="119">
        <v>307</v>
      </c>
      <c r="B55" s="107" t="s">
        <v>379</v>
      </c>
      <c r="C55" s="114" t="s">
        <v>96</v>
      </c>
      <c r="D55" s="110" t="s">
        <v>656</v>
      </c>
      <c r="E55" s="109" t="s">
        <v>106</v>
      </c>
      <c r="F55" s="111" t="s">
        <v>9</v>
      </c>
      <c r="G55" s="112" t="s">
        <v>19</v>
      </c>
      <c r="H55" s="112" t="s">
        <v>541</v>
      </c>
      <c r="I55" s="112" t="s">
        <v>54</v>
      </c>
      <c r="J55" s="112" t="s">
        <v>264</v>
      </c>
      <c r="K55" s="222"/>
      <c r="L55" s="124">
        <v>48.3</v>
      </c>
      <c r="M55" s="124">
        <v>47.1</v>
      </c>
      <c r="N55" s="124">
        <v>36.6</v>
      </c>
      <c r="O55" s="124">
        <v>0.7</v>
      </c>
      <c r="P55" s="124">
        <v>21.6</v>
      </c>
      <c r="Q55" s="124">
        <v>29.2</v>
      </c>
      <c r="R55" s="124">
        <v>16</v>
      </c>
      <c r="S55" s="124">
        <v>3.1</v>
      </c>
      <c r="T55" s="124">
        <v>14.9</v>
      </c>
      <c r="U55" s="124">
        <v>7.6</v>
      </c>
      <c r="V55" s="124">
        <v>26.3</v>
      </c>
      <c r="W55" s="124">
        <v>44.5</v>
      </c>
      <c r="X55" s="124">
        <v>8.6999999999999993</v>
      </c>
      <c r="Y55" s="124">
        <v>-2</v>
      </c>
      <c r="Z55" s="124">
        <v>-0.2</v>
      </c>
      <c r="AA55" s="124">
        <v>12</v>
      </c>
      <c r="AB55" s="124">
        <v>-2.4</v>
      </c>
      <c r="AC55" s="124">
        <v>12.6</v>
      </c>
      <c r="AD55" s="124">
        <v>0.8</v>
      </c>
      <c r="AE55" s="124">
        <v>0.5</v>
      </c>
      <c r="AF55" s="124">
        <v>7.3</v>
      </c>
      <c r="AG55" s="124">
        <v>7.6</v>
      </c>
      <c r="AH55" s="123">
        <v>-1.4</v>
      </c>
      <c r="AI55" s="396">
        <v>11.1</v>
      </c>
      <c r="AJ55" s="124">
        <v>2.9</v>
      </c>
      <c r="AK55" s="124">
        <v>2.2000000000000002</v>
      </c>
      <c r="AL55" s="124">
        <v>1.5</v>
      </c>
      <c r="AM55" s="123">
        <v>7.10000000000033</v>
      </c>
      <c r="AN55" s="124">
        <v>-4.7</v>
      </c>
      <c r="AO55" s="122">
        <v>8.9</v>
      </c>
      <c r="AP55" s="126">
        <v>6.8</v>
      </c>
      <c r="AQ55" s="122">
        <v>2.4</v>
      </c>
      <c r="AR55" s="125">
        <v>4.3</v>
      </c>
      <c r="AS55" s="139" t="s">
        <v>1070</v>
      </c>
      <c r="AT55" s="122"/>
      <c r="AU55" s="122"/>
      <c r="AV55" s="122"/>
      <c r="AW55" s="122">
        <v>5.0999999999999996</v>
      </c>
      <c r="AX55" s="125">
        <v>7.7</v>
      </c>
      <c r="AY55" s="139" t="s">
        <v>1070</v>
      </c>
      <c r="AZ55" s="122"/>
      <c r="BA55" s="460"/>
      <c r="BB55" s="122"/>
      <c r="BC55" s="122">
        <v>-3.5</v>
      </c>
      <c r="BD55" s="125" t="str">
        <f ca="1">INDIRECT(ADDRESS(MATCH($B55,'【別紙1】標高（入力）'!$B:$B,0),'【別紙1】標高（入力）'!AD$2,4,TRUE,"【別紙1】標高（入力）"))</f>
        <v/>
      </c>
      <c r="BE55" s="122" t="str">
        <f ca="1">INDIRECT(ADDRESS(MATCH($B55,'【別紙1】標高（入力）'!$B:$B,0),'【別紙1】標高（入力）'!AE$2,4,TRUE,"【別紙1】標高（入力）"))</f>
        <v/>
      </c>
      <c r="BF55" s="122" t="str">
        <f ca="1">INDIRECT(ADDRESS(MATCH($B55,'【別紙1】標高（入力）'!$B:$B,0),'【別紙1】標高（入力）'!AF$2,4,TRUE,"【別紙1】標高（入力）"))</f>
        <v/>
      </c>
      <c r="BG55" s="122" t="str">
        <f ca="1">INDIRECT(ADDRESS(MATCH($B55,'【別紙1】標高（入力）'!$B:$B,0),'【別紙1】標高（入力）'!AG$2,4,TRUE,"【別紙1】標高（入力）"))</f>
        <v/>
      </c>
      <c r="BH55" s="624" t="str">
        <f ca="1">INDIRECT(ADDRESS(MATCH($B55,'【別紙1】標高（入力）'!$B:$B,0),'【別紙1】標高（入力）'!AH$2,4,TRUE,"【別紙1】標高（入力）"))</f>
        <v/>
      </c>
      <c r="BI55" s="567"/>
      <c r="BJ55" s="598" t="str">
        <f t="shared" ca="1" si="0"/>
        <v>-</v>
      </c>
      <c r="BK55" s="604">
        <f t="shared" ca="1" si="1"/>
        <v>391.20000000000039</v>
      </c>
      <c r="BL55" s="602" t="str">
        <f ca="1">INDIRECT(ADDRESS(MATCH($B55,'【別紙1】標高（入力）'!$B:$B,0),'【別紙1】標高（入力）'!$N$2,4,TRUE,"【別紙1】標高（入力）"))</f>
        <v>H29</v>
      </c>
      <c r="BM55" s="342">
        <f ca="1">INDIRECT(ADDRESS(MATCH($B55,'【別紙1】標高（入力）'!$B:$B,0),'【別紙1】標高（入力）'!$O$2,4,TRUE,"【別紙1】標高（入力）"))</f>
        <v>6.0046999999999997</v>
      </c>
      <c r="BN55" s="392"/>
    </row>
    <row r="56" spans="1:66" ht="15.95" customHeight="1">
      <c r="A56" s="119">
        <v>308</v>
      </c>
      <c r="B56" s="107" t="s">
        <v>377</v>
      </c>
      <c r="C56" s="114" t="s">
        <v>96</v>
      </c>
      <c r="D56" s="110" t="s">
        <v>107</v>
      </c>
      <c r="E56" s="109" t="s">
        <v>108</v>
      </c>
      <c r="F56" s="111" t="s">
        <v>9</v>
      </c>
      <c r="G56" s="112" t="s">
        <v>10</v>
      </c>
      <c r="H56" s="112" t="s">
        <v>541</v>
      </c>
      <c r="I56" s="112" t="s">
        <v>539</v>
      </c>
      <c r="J56" s="112" t="s">
        <v>264</v>
      </c>
      <c r="K56" s="224"/>
      <c r="L56" s="228"/>
      <c r="M56" s="221"/>
      <c r="N56" s="124">
        <v>19.399999999999999</v>
      </c>
      <c r="O56" s="124">
        <v>19</v>
      </c>
      <c r="P56" s="124">
        <v>29.6</v>
      </c>
      <c r="Q56" s="124">
        <v>29.7</v>
      </c>
      <c r="R56" s="124">
        <v>14.8</v>
      </c>
      <c r="S56" s="124">
        <v>1.3</v>
      </c>
      <c r="T56" s="124">
        <v>14.6</v>
      </c>
      <c r="U56" s="124">
        <v>5.0999999999999996</v>
      </c>
      <c r="V56" s="123">
        <v>35.6</v>
      </c>
      <c r="W56" s="411" t="s">
        <v>1270</v>
      </c>
      <c r="X56" s="127">
        <v>47.6</v>
      </c>
      <c r="Y56" s="124">
        <v>12</v>
      </c>
      <c r="Z56" s="124">
        <v>1.5</v>
      </c>
      <c r="AA56" s="124">
        <v>14.4</v>
      </c>
      <c r="AB56" s="124">
        <v>5.8</v>
      </c>
      <c r="AC56" s="124">
        <v>18.2</v>
      </c>
      <c r="AD56" s="124">
        <v>2.4</v>
      </c>
      <c r="AE56" s="124">
        <v>0.7</v>
      </c>
      <c r="AF56" s="124">
        <v>9.6</v>
      </c>
      <c r="AG56" s="124">
        <v>6.9</v>
      </c>
      <c r="AH56" s="123">
        <v>2.8</v>
      </c>
      <c r="AI56" s="396">
        <v>11.4</v>
      </c>
      <c r="AJ56" s="124">
        <v>2.2999999999999998</v>
      </c>
      <c r="AK56" s="124">
        <v>2.8</v>
      </c>
      <c r="AL56" s="123">
        <v>5.5</v>
      </c>
      <c r="AM56" s="123">
        <v>7.2000000000000997</v>
      </c>
      <c r="AN56" s="124">
        <v>-5.7</v>
      </c>
      <c r="AO56" s="122">
        <v>8.8000000000000007</v>
      </c>
      <c r="AP56" s="126">
        <v>5.8</v>
      </c>
      <c r="AQ56" s="122">
        <v>2.4</v>
      </c>
      <c r="AR56" s="125">
        <v>1.3</v>
      </c>
      <c r="AS56" s="125">
        <v>2.1</v>
      </c>
      <c r="AT56" s="139" t="s">
        <v>1071</v>
      </c>
      <c r="AU56" s="122"/>
      <c r="AV56" s="122"/>
      <c r="AW56" s="122">
        <v>5.9</v>
      </c>
      <c r="AX56" s="125">
        <v>7.5</v>
      </c>
      <c r="AY56" s="139" t="s">
        <v>1069</v>
      </c>
      <c r="AZ56" s="121">
        <v>-2</v>
      </c>
      <c r="BA56" s="463" t="s">
        <v>1068</v>
      </c>
      <c r="BB56" s="122"/>
      <c r="BC56" s="122">
        <v>1.6</v>
      </c>
      <c r="BD56" s="139" t="s">
        <v>1069</v>
      </c>
      <c r="BE56" s="121">
        <f ca="1">INDIRECT(ADDRESS(MATCH($B56,'【別紙1】標高（入力）'!$B:$B,0),'【別紙1】標高（入力）'!AE$2,4,TRUE,"【別紙1】標高（入力）"))</f>
        <v>5.7999999999998053</v>
      </c>
      <c r="BF56" s="135" t="s">
        <v>1273</v>
      </c>
      <c r="BG56" s="122" t="str">
        <f ca="1">INDIRECT(ADDRESS(MATCH($B56,'【別紙1】標高（入力）'!$B:$B,0),'【別紙1】標高（入力）'!AG$2,4,TRUE,"【別紙1】標高（入力）"))</f>
        <v/>
      </c>
      <c r="BH56" s="121">
        <f ca="1">INDIRECT(ADDRESS(MATCH($B56,'【別紙1】標高（入力）'!$B:$B,0),'【別紙1】標高（入力）'!AH$2,4,TRUE,"【別紙1】標高（入力）"))</f>
        <v>6.5999999999997172</v>
      </c>
      <c r="BI56" s="624"/>
      <c r="BJ56" s="598" t="str">
        <f t="shared" ref="BJ56:BJ61" ca="1" si="16">IF(AND(ISNUMBER(BI56)*1,ISNUMBER(BH56)*1),BI56,"-")</f>
        <v>-</v>
      </c>
      <c r="BK56" s="604">
        <f t="shared" ref="BK56:BK61" ca="1" si="17">SUM(K56:BI56)</f>
        <v>360.29999999999967</v>
      </c>
      <c r="BL56" s="600" t="str">
        <f ca="1">INDIRECT(ADDRESS(MATCH($B56,'【別紙1】標高（入力）'!$B:$B,0),'【別紙1】標高（入力）'!$N$2,4,TRUE,"【別紙1】標高（入力）"))</f>
        <v>R4</v>
      </c>
      <c r="BM56" s="342">
        <f ca="1">INDIRECT(ADDRESS(MATCH($B56,'【別紙1】標高（入力）'!$B:$B,0),'【別紙1】標高（入力）'!$O$2,4,TRUE,"【別紙1】標高（入力）"))</f>
        <v>5.9050000000000002</v>
      </c>
      <c r="BN56" s="392"/>
    </row>
    <row r="57" spans="1:66" ht="15.95" customHeight="1">
      <c r="A57" s="119">
        <v>309</v>
      </c>
      <c r="B57" s="107" t="s">
        <v>375</v>
      </c>
      <c r="C57" s="114" t="s">
        <v>96</v>
      </c>
      <c r="D57" s="110" t="s">
        <v>684</v>
      </c>
      <c r="E57" s="109" t="s">
        <v>109</v>
      </c>
      <c r="F57" s="111" t="s">
        <v>9</v>
      </c>
      <c r="G57" s="112" t="s">
        <v>19</v>
      </c>
      <c r="H57" s="112" t="s">
        <v>541</v>
      </c>
      <c r="I57" s="112" t="s">
        <v>54</v>
      </c>
      <c r="J57" s="112" t="s">
        <v>264</v>
      </c>
      <c r="K57" s="222"/>
      <c r="L57" s="124">
        <v>37.1</v>
      </c>
      <c r="M57" s="124">
        <v>27.3</v>
      </c>
      <c r="N57" s="124">
        <v>18.399999999999999</v>
      </c>
      <c r="O57" s="136" t="s">
        <v>636</v>
      </c>
      <c r="P57" s="122">
        <v>25.2</v>
      </c>
      <c r="Q57" s="411" t="s">
        <v>1270</v>
      </c>
      <c r="R57" s="127">
        <v>14.7</v>
      </c>
      <c r="S57" s="124">
        <v>-4.5999999999999996</v>
      </c>
      <c r="T57" s="124">
        <v>11.9</v>
      </c>
      <c r="U57" s="124">
        <v>5.5</v>
      </c>
      <c r="V57" s="124">
        <v>34.299999999999997</v>
      </c>
      <c r="W57" s="124">
        <v>49</v>
      </c>
      <c r="X57" s="124">
        <v>2.4</v>
      </c>
      <c r="Y57" s="124">
        <v>-5.2</v>
      </c>
      <c r="Z57" s="124">
        <v>-6.2</v>
      </c>
      <c r="AA57" s="124">
        <v>7.4</v>
      </c>
      <c r="AB57" s="124">
        <v>-5.0999999999999996</v>
      </c>
      <c r="AC57" s="124">
        <v>9.5</v>
      </c>
      <c r="AD57" s="124">
        <v>-2</v>
      </c>
      <c r="AE57" s="124">
        <v>-2.4</v>
      </c>
      <c r="AF57" s="124">
        <v>8</v>
      </c>
      <c r="AG57" s="124">
        <v>5.0999999999999996</v>
      </c>
      <c r="AH57" s="123">
        <v>-2.7</v>
      </c>
      <c r="AI57" s="396">
        <v>8.5</v>
      </c>
      <c r="AJ57" s="124">
        <v>1.4</v>
      </c>
      <c r="AK57" s="124">
        <v>5</v>
      </c>
      <c r="AL57" s="124">
        <v>2.2000000000000002</v>
      </c>
      <c r="AM57" s="123">
        <v>4.1999999999999797</v>
      </c>
      <c r="AN57" s="124">
        <v>-4.9000000000000004</v>
      </c>
      <c r="AO57" s="122">
        <v>7</v>
      </c>
      <c r="AP57" s="126">
        <v>6.7</v>
      </c>
      <c r="AQ57" s="122">
        <v>1.6</v>
      </c>
      <c r="AR57" s="125">
        <v>5.3</v>
      </c>
      <c r="AS57" s="126">
        <v>6.4</v>
      </c>
      <c r="AT57" s="139" t="s">
        <v>1071</v>
      </c>
      <c r="AU57" s="122"/>
      <c r="AV57" s="122"/>
      <c r="AW57" s="122">
        <v>5.3</v>
      </c>
      <c r="AX57" s="125">
        <v>6.6</v>
      </c>
      <c r="AY57" s="139" t="s">
        <v>1069</v>
      </c>
      <c r="AZ57" s="121">
        <v>-5.9</v>
      </c>
      <c r="BA57" s="463" t="s">
        <v>1068</v>
      </c>
      <c r="BB57" s="122"/>
      <c r="BC57" s="122">
        <v>-1.5</v>
      </c>
      <c r="BD57" s="139" t="s">
        <v>1069</v>
      </c>
      <c r="BE57" s="121">
        <f ca="1">INDIRECT(ADDRESS(MATCH($B57,'【別紙1】標高（入力）'!$B:$B,0),'【別紙1】標高（入力）'!AE$2,4,TRUE,"【別紙1】標高（入力）"))</f>
        <v>2.9000000000003467</v>
      </c>
      <c r="BF57" s="122" t="str">
        <f ca="1">INDIRECT(ADDRESS(MATCH($B57,'【別紙1】標高（入力）'!$B:$B,0),'【別紙1】標高（入力）'!AF$2,4,TRUE,"【別紙1】標高（入力）"))</f>
        <v/>
      </c>
      <c r="BG57" s="122" t="str">
        <f ca="1">INDIRECT(ADDRESS(MATCH($B57,'【別紙1】標高（入力）'!$B:$B,0),'【別紙1】標高（入力）'!AG$2,4,TRUE,"【別紙1】標高（入力）"))</f>
        <v/>
      </c>
      <c r="BH57" s="122" t="str">
        <f ca="1">INDIRECT(ADDRESS(MATCH($B57,'【別紙1】標高（入力）'!$B:$B,0),'【別紙1】標高（入力）'!AH$2,4,TRUE,"【別紙1】標高（入力）"))</f>
        <v/>
      </c>
      <c r="BI57" s="624"/>
      <c r="BJ57" s="598" t="str">
        <f t="shared" ca="1" si="16"/>
        <v>-</v>
      </c>
      <c r="BK57" s="604">
        <f t="shared" ca="1" si="17"/>
        <v>278.40000000000043</v>
      </c>
      <c r="BL57" s="600" t="str">
        <f ca="1">INDIRECT(ADDRESS(MATCH($B57,'【別紙1】標高（入力）'!$B:$B,0),'【別紙1】標高（入力）'!$N$2,4,TRUE,"【別紙1】標高（入力）"))</f>
        <v>R1</v>
      </c>
      <c r="BM57" s="342">
        <f ca="1">INDIRECT(ADDRESS(MATCH($B57,'【別紙1】標高（入力）'!$B:$B,0),'【別紙1】標高（入力）'!$O$2,4,TRUE,"【別紙1】標高（入力）"))</f>
        <v>4.8231999999999999</v>
      </c>
      <c r="BN57" s="392"/>
    </row>
    <row r="58" spans="1:66" ht="15.95" customHeight="1">
      <c r="A58" s="119">
        <v>310</v>
      </c>
      <c r="B58" s="107" t="s">
        <v>1176</v>
      </c>
      <c r="C58" s="114" t="s">
        <v>96</v>
      </c>
      <c r="D58" s="110" t="s">
        <v>571</v>
      </c>
      <c r="E58" s="109" t="s">
        <v>111</v>
      </c>
      <c r="F58" s="111" t="s">
        <v>9</v>
      </c>
      <c r="G58" s="112" t="s">
        <v>10</v>
      </c>
      <c r="H58" s="112" t="s">
        <v>541</v>
      </c>
      <c r="I58" s="112" t="s">
        <v>539</v>
      </c>
      <c r="J58" s="112" t="s">
        <v>270</v>
      </c>
      <c r="K58" s="224"/>
      <c r="L58" s="228"/>
      <c r="M58" s="221"/>
      <c r="N58" s="124">
        <v>16.600000000000001</v>
      </c>
      <c r="O58" s="136" t="s">
        <v>636</v>
      </c>
      <c r="P58" s="127">
        <v>45.8</v>
      </c>
      <c r="Q58" s="124">
        <v>16</v>
      </c>
      <c r="R58" s="124">
        <v>9</v>
      </c>
      <c r="S58" s="124">
        <v>3.8</v>
      </c>
      <c r="T58" s="123">
        <v>9</v>
      </c>
      <c r="U58" s="411" t="s">
        <v>47</v>
      </c>
      <c r="V58" s="127">
        <v>13.8</v>
      </c>
      <c r="W58" s="124">
        <v>27.3</v>
      </c>
      <c r="X58" s="124">
        <v>4.3</v>
      </c>
      <c r="Y58" s="124">
        <v>-8.1999999999999993</v>
      </c>
      <c r="Z58" s="124">
        <v>11.6</v>
      </c>
      <c r="AA58" s="124">
        <v>7.4</v>
      </c>
      <c r="AB58" s="124">
        <v>0.4</v>
      </c>
      <c r="AC58" s="124">
        <v>10.7</v>
      </c>
      <c r="AD58" s="124">
        <v>-0.5</v>
      </c>
      <c r="AE58" s="124">
        <v>0.3</v>
      </c>
      <c r="AF58" s="124">
        <v>7.2</v>
      </c>
      <c r="AG58" s="124">
        <v>7</v>
      </c>
      <c r="AH58" s="123">
        <v>-2.5</v>
      </c>
      <c r="AI58" s="396">
        <v>11.6</v>
      </c>
      <c r="AJ58" s="124">
        <v>-0.2</v>
      </c>
      <c r="AK58" s="124">
        <v>2</v>
      </c>
      <c r="AL58" s="123">
        <v>6.7</v>
      </c>
      <c r="AM58" s="123">
        <v>5.2000000000003199</v>
      </c>
      <c r="AN58" s="124">
        <v>-7</v>
      </c>
      <c r="AO58" s="122">
        <v>11</v>
      </c>
      <c r="AP58" s="126">
        <v>6.6</v>
      </c>
      <c r="AQ58" s="135" t="s">
        <v>637</v>
      </c>
      <c r="AR58" s="122">
        <v>2.10000000000043</v>
      </c>
      <c r="AS58" s="139" t="s">
        <v>1068</v>
      </c>
      <c r="AT58" s="122"/>
      <c r="AU58" s="122">
        <v>3.9</v>
      </c>
      <c r="AV58" s="126">
        <v>3.5</v>
      </c>
      <c r="AW58" s="125">
        <v>2.4</v>
      </c>
      <c r="AX58" s="125">
        <v>4.4000000000000004</v>
      </c>
      <c r="AY58" s="139" t="s">
        <v>1069</v>
      </c>
      <c r="AZ58" s="121">
        <v>-2.1</v>
      </c>
      <c r="BA58" s="463" t="s">
        <v>1068</v>
      </c>
      <c r="BB58" s="122"/>
      <c r="BC58" s="122">
        <v>6.4</v>
      </c>
      <c r="BD58" s="139" t="s">
        <v>1069</v>
      </c>
      <c r="BE58" s="121">
        <f ca="1">INDIRECT(ADDRESS(MATCH($B58,'【別紙1】標高（入力）'!$B:$B,0),'【別紙1】標高（入力）'!AE$2,4,TRUE,"【別紙1】標高（入力）"))</f>
        <v>11.799999999999145</v>
      </c>
      <c r="BF58" s="633" t="s">
        <v>1337</v>
      </c>
      <c r="BG58" s="632" t="str">
        <f ca="1">INDIRECT(ADDRESS(MATCH($B58,'【別紙1】標高（入力）'!$B:$B,0),'【別紙1】標高（入力）'!AG$2,4,TRUE,"【別紙1】標高（入力）"))</f>
        <v/>
      </c>
      <c r="BH58" s="632" t="str">
        <f ca="1">INDIRECT(ADDRESS(MATCH($B58,'【別紙1】標高（入力）'!$B:$B,0),'【別紙1】標高（入力）'!AH$2,4,TRUE,"【別紙1】標高（入力）"))</f>
        <v/>
      </c>
      <c r="BI58" s="569">
        <f ca="1">INDIRECT(ADDRESS(MATCH($B58,'【別紙1】標高（入力）'!$B:$B,0),'【別紙1】標高（入力）'!AI$2,4,TRUE,"【別紙1】標高（入力）"))</f>
        <v>9.9999999999997868</v>
      </c>
      <c r="BJ58" s="598" t="str">
        <f t="shared" ca="1" si="16"/>
        <v>-</v>
      </c>
      <c r="BK58" s="604">
        <f t="shared" ca="1" si="17"/>
        <v>257.29999999999973</v>
      </c>
      <c r="BL58" s="602" t="str">
        <f ca="1">INDIRECT(ADDRESS(MATCH($B58,'【別紙1】標高（入力）'!$B:$B,0),'【別紙1】標高（入力）'!$N$2,4,TRUE,"【別紙1】標高（入力）"))</f>
        <v>R5</v>
      </c>
      <c r="BM58" s="342">
        <f ca="1">INDIRECT(ADDRESS(MATCH($B58,'【別紙1】標高（入力）'!$B:$B,0),'【別紙1】標高（入力）'!$O$2,4,TRUE,"【別紙1】標高（入力）"))</f>
        <v>10.768700000000001</v>
      </c>
      <c r="BN58" s="392"/>
    </row>
    <row r="59" spans="1:66" ht="15.95" customHeight="1">
      <c r="A59" s="119">
        <v>311</v>
      </c>
      <c r="B59" s="107" t="s">
        <v>405</v>
      </c>
      <c r="C59" s="114" t="s">
        <v>96</v>
      </c>
      <c r="D59" s="110" t="s">
        <v>710</v>
      </c>
      <c r="E59" s="109" t="s">
        <v>113</v>
      </c>
      <c r="F59" s="111" t="s">
        <v>9</v>
      </c>
      <c r="G59" s="112" t="s">
        <v>10</v>
      </c>
      <c r="H59" s="112" t="s">
        <v>541</v>
      </c>
      <c r="I59" s="112" t="s">
        <v>539</v>
      </c>
      <c r="J59" s="112" t="s">
        <v>270</v>
      </c>
      <c r="K59" s="224"/>
      <c r="L59" s="228"/>
      <c r="M59" s="221"/>
      <c r="N59" s="124">
        <v>12.4</v>
      </c>
      <c r="O59" s="124">
        <v>-0.4</v>
      </c>
      <c r="P59" s="124">
        <v>14.1</v>
      </c>
      <c r="Q59" s="124">
        <v>13.3</v>
      </c>
      <c r="R59" s="124">
        <v>2.2999999999999998</v>
      </c>
      <c r="S59" s="124">
        <v>-2.2000000000000002</v>
      </c>
      <c r="T59" s="124">
        <v>10.199999999999999</v>
      </c>
      <c r="U59" s="124">
        <v>3.5</v>
      </c>
      <c r="V59" s="124">
        <v>12.7</v>
      </c>
      <c r="W59" s="124">
        <v>31.2</v>
      </c>
      <c r="X59" s="124">
        <v>5.2</v>
      </c>
      <c r="Y59" s="124">
        <v>-7.7</v>
      </c>
      <c r="Z59" s="124">
        <v>6.6</v>
      </c>
      <c r="AA59" s="124">
        <v>5.7</v>
      </c>
      <c r="AB59" s="124">
        <v>-1.8</v>
      </c>
      <c r="AC59" s="124">
        <v>8.8000000000000007</v>
      </c>
      <c r="AD59" s="124">
        <v>-2.2000000000000002</v>
      </c>
      <c r="AE59" s="124">
        <v>-2.4</v>
      </c>
      <c r="AF59" s="124">
        <v>6.7</v>
      </c>
      <c r="AG59" s="124">
        <v>5.7</v>
      </c>
      <c r="AH59" s="123">
        <v>-1.6</v>
      </c>
      <c r="AI59" s="125">
        <v>9.4</v>
      </c>
      <c r="AJ59" s="124">
        <v>-2.7</v>
      </c>
      <c r="AK59" s="124">
        <v>2</v>
      </c>
      <c r="AL59" s="123">
        <v>4.5999999999999996</v>
      </c>
      <c r="AM59" s="123">
        <v>5.1000000000005503</v>
      </c>
      <c r="AN59" s="124">
        <v>-7</v>
      </c>
      <c r="AO59" s="122">
        <v>9.4</v>
      </c>
      <c r="AP59" s="126">
        <v>4.5</v>
      </c>
      <c r="AQ59" s="135" t="s">
        <v>637</v>
      </c>
      <c r="AR59" s="122">
        <v>2.0000000000006701</v>
      </c>
      <c r="AS59" s="139" t="s">
        <v>1068</v>
      </c>
      <c r="AT59" s="122"/>
      <c r="AU59" s="122">
        <v>0</v>
      </c>
      <c r="AV59" s="126">
        <v>1.9</v>
      </c>
      <c r="AW59" s="125">
        <v>-1.2</v>
      </c>
      <c r="AX59" s="125">
        <v>7.9</v>
      </c>
      <c r="AY59" s="139" t="s">
        <v>1070</v>
      </c>
      <c r="AZ59" s="122"/>
      <c r="BA59" s="460"/>
      <c r="BB59" s="122"/>
      <c r="BC59" s="122">
        <v>0.5</v>
      </c>
      <c r="BD59" s="139" t="s">
        <v>1382</v>
      </c>
      <c r="BE59" s="122" t="str">
        <f ca="1">INDIRECT(ADDRESS(MATCH($B59,'【別紙1】標高（入力）'!$B:$B,0),'【別紙1】標高（入力）'!AE$2,4,TRUE,"【別紙1】標高（入力）"))</f>
        <v/>
      </c>
      <c r="BF59" s="122" t="str">
        <f ca="1">INDIRECT(ADDRESS(MATCH($B59,'【別紙1】標高（入力）'!$B:$B,0),'【別紙1】標高（入力）'!AF$2,4,TRUE,"【別紙1】標高（入力）"))</f>
        <v/>
      </c>
      <c r="BG59" s="122" t="str">
        <f ca="1">INDIRECT(ADDRESS(MATCH($B59,'【別紙1】標高（入力）'!$B:$B,0),'【別紙1】標高（入力）'!AG$2,4,TRUE,"【別紙1】標高（入力）"))</f>
        <v/>
      </c>
      <c r="BH59" s="121">
        <f ca="1">INDIRECT(ADDRESS(MATCH($B59,'【別紙1】標高（入力）'!$B:$B,0),'【別紙1】標高（入力）'!AH$2,4,TRUE,"【別紙1】標高（入力）"))</f>
        <v>11.700000000001154</v>
      </c>
      <c r="BI59" s="569">
        <f ca="1">INDIRECT(ADDRESS(MATCH($B59,'【別紙1】標高（入力）'!$B:$B,0),'【別紙1】標高（入力）'!AI$2,4,TRUE,"【別紙1】標高（入力）"))</f>
        <v>5.3999999999998494</v>
      </c>
      <c r="BJ59" s="598">
        <f t="shared" ca="1" si="16"/>
        <v>5.3999999999998494</v>
      </c>
      <c r="BK59" s="604">
        <f t="shared" ca="1" si="17"/>
        <v>173.6000000000023</v>
      </c>
      <c r="BL59" s="602" t="str">
        <f ca="1">INDIRECT(ADDRESS(MATCH($B59,'【別紙1】標高（入力）'!$B:$B,0),'【別紙1】標高（入力）'!$N$2,4,TRUE,"【別紙1】標高（入力）"))</f>
        <v>R5</v>
      </c>
      <c r="BM59" s="342">
        <f ca="1">INDIRECT(ADDRESS(MATCH($B59,'【別紙1】標高（入力）'!$B:$B,0),'【別紙1】標高（入力）'!$O$2,4,TRUE,"【別紙1】標高（入力）"))</f>
        <v>10.1693</v>
      </c>
      <c r="BN59" s="392"/>
    </row>
    <row r="60" spans="1:66" ht="15.95" customHeight="1">
      <c r="A60" s="119">
        <v>312</v>
      </c>
      <c r="B60" s="107" t="s">
        <v>436</v>
      </c>
      <c r="C60" s="114" t="s">
        <v>96</v>
      </c>
      <c r="D60" s="110" t="s">
        <v>559</v>
      </c>
      <c r="E60" s="109" t="s">
        <v>114</v>
      </c>
      <c r="F60" s="111" t="s">
        <v>9</v>
      </c>
      <c r="G60" s="112" t="s">
        <v>10</v>
      </c>
      <c r="H60" s="112" t="s">
        <v>541</v>
      </c>
      <c r="I60" s="112" t="s">
        <v>1281</v>
      </c>
      <c r="J60" s="112" t="s">
        <v>270</v>
      </c>
      <c r="K60" s="224"/>
      <c r="L60" s="228"/>
      <c r="M60" s="221"/>
      <c r="N60" s="124">
        <v>6.3</v>
      </c>
      <c r="O60" s="136" t="s">
        <v>636</v>
      </c>
      <c r="P60" s="127">
        <v>19.399999999999999</v>
      </c>
      <c r="Q60" s="124">
        <v>9.1</v>
      </c>
      <c r="R60" s="124">
        <v>3.5</v>
      </c>
      <c r="S60" s="124">
        <v>1.7</v>
      </c>
      <c r="T60" s="124">
        <v>6</v>
      </c>
      <c r="U60" s="124">
        <v>4.4000000000000004</v>
      </c>
      <c r="V60" s="124">
        <v>5</v>
      </c>
      <c r="W60" s="124">
        <v>11.3</v>
      </c>
      <c r="X60" s="124">
        <v>-0.5</v>
      </c>
      <c r="Y60" s="124">
        <v>-10.5</v>
      </c>
      <c r="Z60" s="124">
        <v>11.6</v>
      </c>
      <c r="AA60" s="124">
        <v>5.7</v>
      </c>
      <c r="AB60" s="124">
        <v>-0.4</v>
      </c>
      <c r="AC60" s="124">
        <v>10.199999999999999</v>
      </c>
      <c r="AD60" s="124">
        <v>-0.4</v>
      </c>
      <c r="AE60" s="124">
        <v>0.2</v>
      </c>
      <c r="AF60" s="124">
        <v>6.6</v>
      </c>
      <c r="AG60" s="124">
        <v>6.5</v>
      </c>
      <c r="AH60" s="123">
        <v>-5.2</v>
      </c>
      <c r="AI60" s="125">
        <v>10.8</v>
      </c>
      <c r="AJ60" s="124">
        <v>-1.8</v>
      </c>
      <c r="AK60" s="124">
        <v>-0.2</v>
      </c>
      <c r="AL60" s="123">
        <v>7.8</v>
      </c>
      <c r="AM60" s="123">
        <v>2.9000000000003499</v>
      </c>
      <c r="AN60" s="124">
        <v>-6.6</v>
      </c>
      <c r="AO60" s="122">
        <v>12.4</v>
      </c>
      <c r="AP60" s="126">
        <v>5.3</v>
      </c>
      <c r="AQ60" s="139" t="s">
        <v>1068</v>
      </c>
      <c r="AR60" s="122"/>
      <c r="AS60" s="121">
        <v>5.2</v>
      </c>
      <c r="AT60" s="125">
        <v>5.0999999999999996</v>
      </c>
      <c r="AU60" s="139" t="s">
        <v>1070</v>
      </c>
      <c r="AV60" s="122"/>
      <c r="AW60" s="122"/>
      <c r="AX60" s="122"/>
      <c r="AY60" s="122">
        <v>8.5</v>
      </c>
      <c r="AZ60" s="139" t="s">
        <v>1070</v>
      </c>
      <c r="BA60" s="460"/>
      <c r="BB60" s="122"/>
      <c r="BC60" s="122"/>
      <c r="BD60" s="122">
        <f ca="1">INDIRECT(ADDRESS(MATCH($B60,'【別紙1】標高（入力）'!$B:$B,0),'【別紙1】標高（入力）'!AD$2,4,TRUE,"【別紙1】標高（入力）"))</f>
        <v>-0.50000000000061107</v>
      </c>
      <c r="BE60" s="634" t="s">
        <v>1336</v>
      </c>
      <c r="BF60" s="632" t="str">
        <f ca="1">INDIRECT(ADDRESS(MATCH($B60,'【別紙1】標高（入力）'!$B:$B,0),'【別紙1】標高（入力）'!AF$2,4,TRUE,"【別紙1】標高（入力）"))</f>
        <v/>
      </c>
      <c r="BG60" s="632" t="str">
        <f ca="1">INDIRECT(ADDRESS(MATCH($B60,'【別紙1】標高（入力）'!$B:$B,0),'【別紙1】標高（入力）'!AG$2,4,TRUE,"【別紙1】標高（入力）"))</f>
        <v/>
      </c>
      <c r="BH60" s="632" t="str">
        <f ca="1">INDIRECT(ADDRESS(MATCH($B60,'【別紙1】標高（入力）'!$B:$B,0),'【別紙1】標高（入力）'!AH$2,4,TRUE,"【別紙1】標高（入力）"))</f>
        <v/>
      </c>
      <c r="BI60" s="568">
        <f ca="1">INDIRECT(ADDRESS(MATCH($B60,'【別紙1】標高（入力）'!$B:$B,0),'【別紙1】標高（入力）'!AI$2,4,TRUE,"【別紙1】標高（入力）"))</f>
        <v>9.700000000000486</v>
      </c>
      <c r="BJ60" s="598" t="str">
        <f t="shared" ca="1" si="16"/>
        <v>-</v>
      </c>
      <c r="BK60" s="604">
        <f t="shared" ca="1" si="17"/>
        <v>149.10000000000025</v>
      </c>
      <c r="BL60" s="600" t="str">
        <f ca="1">INDIRECT(ADDRESS(MATCH($B60,'【別紙1】標高（入力）'!$B:$B,0),'【別紙1】標高（入力）'!$N$2,4,TRUE,"【別紙1】標高（入力）"))</f>
        <v>R5</v>
      </c>
      <c r="BM60" s="340">
        <f ca="1">INDIRECT(ADDRESS(MATCH($B60,'【別紙1】標高（入力）'!$B:$B,0),'【別紙1】標高（入力）'!$O$2,4,TRUE,"【別紙1】標高（入力）"))</f>
        <v>11.8337</v>
      </c>
      <c r="BN60" s="392"/>
    </row>
    <row r="61" spans="1:66" ht="15.95" customHeight="1">
      <c r="A61" s="119">
        <v>313</v>
      </c>
      <c r="B61" s="107" t="s">
        <v>407</v>
      </c>
      <c r="C61" s="114" t="s">
        <v>96</v>
      </c>
      <c r="D61" s="110" t="s">
        <v>700</v>
      </c>
      <c r="E61" s="109" t="s">
        <v>116</v>
      </c>
      <c r="F61" s="111" t="s">
        <v>9</v>
      </c>
      <c r="G61" s="112" t="s">
        <v>10</v>
      </c>
      <c r="H61" s="112" t="s">
        <v>541</v>
      </c>
      <c r="I61" s="112" t="s">
        <v>54</v>
      </c>
      <c r="J61" s="112" t="s">
        <v>270</v>
      </c>
      <c r="K61" s="224"/>
      <c r="L61" s="228"/>
      <c r="M61" s="221"/>
      <c r="N61" s="124">
        <v>16.5</v>
      </c>
      <c r="O61" s="124">
        <v>1.4</v>
      </c>
      <c r="P61" s="124">
        <v>53.8</v>
      </c>
      <c r="Q61" s="124">
        <v>75.400000000000006</v>
      </c>
      <c r="R61" s="124">
        <v>18.7</v>
      </c>
      <c r="S61" s="124">
        <v>12.3</v>
      </c>
      <c r="T61" s="124">
        <v>43.5</v>
      </c>
      <c r="U61" s="124">
        <v>51.6</v>
      </c>
      <c r="V61" s="123">
        <v>67.5</v>
      </c>
      <c r="W61" s="415" t="s">
        <v>47</v>
      </c>
      <c r="X61" s="413" t="s">
        <v>1270</v>
      </c>
      <c r="Y61" s="135" t="s">
        <v>652</v>
      </c>
      <c r="Z61" s="122"/>
      <c r="AA61" s="122"/>
      <c r="AB61" s="127">
        <v>47.1</v>
      </c>
      <c r="AC61" s="136" t="s">
        <v>1273</v>
      </c>
      <c r="AD61" s="122"/>
      <c r="AE61" s="127">
        <v>19.5</v>
      </c>
      <c r="AF61" s="136" t="s">
        <v>1273</v>
      </c>
      <c r="AG61" s="122"/>
      <c r="AH61" s="122">
        <v>24.2</v>
      </c>
      <c r="AI61" s="139" t="s">
        <v>685</v>
      </c>
      <c r="AJ61" s="122"/>
      <c r="AK61" s="122"/>
      <c r="AL61" s="122"/>
      <c r="AM61" s="122"/>
      <c r="AN61" s="122">
        <v>33.5</v>
      </c>
      <c r="AO61" s="139" t="s">
        <v>1070</v>
      </c>
      <c r="AP61" s="122"/>
      <c r="AQ61" s="122"/>
      <c r="AR61" s="122"/>
      <c r="AS61" s="121">
        <v>47.5</v>
      </c>
      <c r="AT61" s="126">
        <v>13.3</v>
      </c>
      <c r="AU61" s="135" t="s">
        <v>637</v>
      </c>
      <c r="AV61" s="122">
        <v>40.6</v>
      </c>
      <c r="AW61" s="126">
        <v>16.2</v>
      </c>
      <c r="AX61" s="139" t="s">
        <v>525</v>
      </c>
      <c r="AY61" s="122"/>
      <c r="AZ61" s="121">
        <v>15.6</v>
      </c>
      <c r="BA61" s="458" t="s">
        <v>1070</v>
      </c>
      <c r="BB61" s="122"/>
      <c r="BC61" s="122"/>
      <c r="BD61" s="122" t="str">
        <f ca="1">INDIRECT(ADDRESS(MATCH($B61,'【別紙1】標高（入力）'!$B:$B,0),'【別紙1】標高（入力）'!AD$2,4,TRUE,"【別紙1】標高（入力）"))</f>
        <v/>
      </c>
      <c r="BE61" s="121">
        <f ca="1">INDIRECT(ADDRESS(MATCH($B61,'【別紙1】標高（入力）'!$B:$B,0),'【別紙1】標高（入力）'!AE$2,4,TRUE,"【別紙1】標高（入力）"))</f>
        <v>35.300000000000331</v>
      </c>
      <c r="BF61" s="135" t="s">
        <v>1273</v>
      </c>
      <c r="BG61" s="122" t="str">
        <f ca="1">INDIRECT(ADDRESS(MATCH($B61,'【別紙1】標高（入力）'!$B:$B,0),'【別紙1】標高（入力）'!AG$2,4,TRUE,"【別紙1】標高（入力）"))</f>
        <v/>
      </c>
      <c r="BH61" s="121">
        <f ca="1">INDIRECT(ADDRESS(MATCH($B61,'【別紙1】標高（入力）'!$B:$B,0),'【別紙1】標高（入力）'!AH$2,4,TRUE,"【別紙1】標高（入力）"))</f>
        <v>15.500000000000291</v>
      </c>
      <c r="BI61" s="624"/>
      <c r="BJ61" s="598" t="str">
        <f t="shared" ca="1" si="16"/>
        <v>-</v>
      </c>
      <c r="BK61" s="604">
        <f t="shared" ca="1" si="17"/>
        <v>649.00000000000068</v>
      </c>
      <c r="BL61" s="600" t="str">
        <f ca="1">INDIRECT(ADDRESS(MATCH($B61,'【別紙1】標高（入力）'!$B:$B,0),'【別紙1】標高（入力）'!$N$2,4,TRUE,"【別紙1】標高（入力）"))</f>
        <v>R4</v>
      </c>
      <c r="BM61" s="340">
        <f ca="1">INDIRECT(ADDRESS(MATCH($B61,'【別紙1】標高（入力）'!$B:$B,0),'【別紙1】標高（入力）'!$O$2,4,TRUE,"【別紙1】標高（入力）"))</f>
        <v>6.2317999999999998</v>
      </c>
      <c r="BN61" s="392"/>
    </row>
    <row r="62" spans="1:66" s="231" customFormat="1" ht="15.95" customHeight="1">
      <c r="A62" s="214">
        <v>314</v>
      </c>
      <c r="B62" s="215" t="s">
        <v>437</v>
      </c>
      <c r="C62" s="216" t="s">
        <v>96</v>
      </c>
      <c r="D62" s="217" t="s">
        <v>638</v>
      </c>
      <c r="E62" s="218" t="s">
        <v>299</v>
      </c>
      <c r="F62" s="219" t="s">
        <v>9</v>
      </c>
      <c r="G62" s="220" t="s">
        <v>31</v>
      </c>
      <c r="H62" s="220" t="s">
        <v>541</v>
      </c>
      <c r="I62" s="220" t="s">
        <v>54</v>
      </c>
      <c r="J62" s="220" t="s">
        <v>270</v>
      </c>
      <c r="K62" s="224"/>
      <c r="L62" s="228"/>
      <c r="M62" s="228"/>
      <c r="N62" s="228"/>
      <c r="O62" s="228"/>
      <c r="P62" s="221"/>
      <c r="Q62" s="124">
        <v>15.5</v>
      </c>
      <c r="R62" s="124">
        <v>37.299999999999997</v>
      </c>
      <c r="S62" s="124">
        <v>15.5</v>
      </c>
      <c r="T62" s="124">
        <v>36</v>
      </c>
      <c r="U62" s="124">
        <v>22.6</v>
      </c>
      <c r="V62" s="124">
        <v>45.6</v>
      </c>
      <c r="W62" s="136" t="s">
        <v>679</v>
      </c>
      <c r="X62" s="122"/>
      <c r="Y62" s="122"/>
      <c r="Z62" s="122"/>
      <c r="AA62" s="122"/>
      <c r="AB62" s="127">
        <v>155.5</v>
      </c>
      <c r="AC62" s="136" t="s">
        <v>1273</v>
      </c>
      <c r="AD62" s="122"/>
      <c r="AE62" s="127">
        <v>20.5</v>
      </c>
      <c r="AF62" s="136" t="s">
        <v>1273</v>
      </c>
      <c r="AG62" s="122"/>
      <c r="AH62" s="122">
        <v>41.5</v>
      </c>
      <c r="AI62" s="225" t="s">
        <v>247</v>
      </c>
      <c r="AJ62" s="228"/>
      <c r="AK62" s="228"/>
      <c r="AL62" s="228"/>
      <c r="AM62" s="228"/>
      <c r="AN62" s="232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462"/>
      <c r="BB62" s="228"/>
      <c r="BC62" s="228"/>
      <c r="BD62" s="228"/>
      <c r="BE62" s="228"/>
      <c r="BF62" s="228"/>
      <c r="BG62" s="228"/>
      <c r="BH62" s="625"/>
      <c r="BI62" s="625"/>
      <c r="BJ62" s="599" t="str">
        <f t="shared" si="0"/>
        <v>-</v>
      </c>
      <c r="BK62" s="605">
        <f t="shared" si="1"/>
        <v>390</v>
      </c>
      <c r="BL62" s="603" t="s">
        <v>1188</v>
      </c>
      <c r="BM62" s="344" t="s">
        <v>1189</v>
      </c>
      <c r="BN62" s="393" t="s">
        <v>723</v>
      </c>
    </row>
    <row r="63" spans="1:66" ht="15.95" customHeight="1">
      <c r="A63" s="119">
        <v>315</v>
      </c>
      <c r="B63" s="107" t="s">
        <v>439</v>
      </c>
      <c r="C63" s="114" t="s">
        <v>96</v>
      </c>
      <c r="D63" s="110" t="s">
        <v>329</v>
      </c>
      <c r="E63" s="109" t="s">
        <v>299</v>
      </c>
      <c r="F63" s="111" t="s">
        <v>9</v>
      </c>
      <c r="G63" s="112" t="s">
        <v>31</v>
      </c>
      <c r="H63" s="112" t="s">
        <v>64</v>
      </c>
      <c r="I63" s="112" t="s">
        <v>539</v>
      </c>
      <c r="J63" s="112" t="s">
        <v>270</v>
      </c>
      <c r="K63" s="224"/>
      <c r="L63" s="228"/>
      <c r="M63" s="228"/>
      <c r="N63" s="228"/>
      <c r="O63" s="228"/>
      <c r="P63" s="221"/>
      <c r="Q63" s="124">
        <v>16.899999999999999</v>
      </c>
      <c r="R63" s="124">
        <v>3.7</v>
      </c>
      <c r="S63" s="124">
        <v>-6.9</v>
      </c>
      <c r="T63" s="124">
        <v>5.3</v>
      </c>
      <c r="U63" s="124">
        <v>-1</v>
      </c>
      <c r="V63" s="124">
        <v>4.7</v>
      </c>
      <c r="W63" s="136" t="s">
        <v>679</v>
      </c>
      <c r="X63" s="122"/>
      <c r="Y63" s="122"/>
      <c r="Z63" s="122"/>
      <c r="AA63" s="122"/>
      <c r="AB63" s="127">
        <v>54.9</v>
      </c>
      <c r="AC63" s="136" t="s">
        <v>1273</v>
      </c>
      <c r="AD63" s="122"/>
      <c r="AE63" s="127">
        <v>13.4</v>
      </c>
      <c r="AF63" s="136" t="s">
        <v>1273</v>
      </c>
      <c r="AG63" s="122"/>
      <c r="AH63" s="122">
        <v>14.7</v>
      </c>
      <c r="AI63" s="139" t="s">
        <v>685</v>
      </c>
      <c r="AJ63" s="122"/>
      <c r="AK63" s="122"/>
      <c r="AL63" s="122"/>
      <c r="AM63" s="122"/>
      <c r="AN63" s="121">
        <v>16.7</v>
      </c>
      <c r="AO63" s="139" t="s">
        <v>1070</v>
      </c>
      <c r="AP63" s="122"/>
      <c r="AQ63" s="122"/>
      <c r="AR63" s="122"/>
      <c r="AS63" s="121">
        <v>22.3</v>
      </c>
      <c r="AT63" s="122">
        <v>2.5</v>
      </c>
      <c r="AU63" s="125">
        <v>-0.6</v>
      </c>
      <c r="AV63" s="125">
        <v>4.7</v>
      </c>
      <c r="AW63" s="139" t="s">
        <v>526</v>
      </c>
      <c r="AX63" s="122"/>
      <c r="AY63" s="122"/>
      <c r="AZ63" s="121">
        <v>1.8</v>
      </c>
      <c r="BA63" s="458" t="s">
        <v>1070</v>
      </c>
      <c r="BB63" s="122"/>
      <c r="BC63" s="122"/>
      <c r="BD63" s="122" t="str">
        <f ca="1">INDIRECT(ADDRESS(MATCH($B63,'【別紙1】標高（入力）'!$B:$B,0),'【別紙1】標高（入力）'!AD$2,4,TRUE,"【別紙1】標高（入力）"))</f>
        <v/>
      </c>
      <c r="BE63" s="121">
        <f ca="1">INDIRECT(ADDRESS(MATCH($B63,'【別紙1】標高（入力）'!$B:$B,0),'【別紙1】標高（入力）'!AE$2,4,TRUE,"【別紙1】標高（入力）"))</f>
        <v>14.000000000000234</v>
      </c>
      <c r="BF63" s="122" t="str">
        <f ca="1">INDIRECT(ADDRESS(MATCH($B63,'【別紙1】標高（入力）'!$B:$B,0),'【別紙1】標高（入力）'!AF$2,4,TRUE,"【別紙1】標高（入力）"))</f>
        <v/>
      </c>
      <c r="BG63" s="122" t="str">
        <f ca="1">INDIRECT(ADDRESS(MATCH($B63,'【別紙1】標高（入力）'!$B:$B,0),'【別紙1】標高（入力）'!AG$2,4,TRUE,"【別紙1】標高（入力）"))</f>
        <v/>
      </c>
      <c r="BH63" s="122" t="str">
        <f ca="1">INDIRECT(ADDRESS(MATCH($B63,'【別紙1】標高（入力）'!$B:$B,0),'【別紙1】標高（入力）'!AH$2,4,TRUE,"【別紙1】標高（入力）"))</f>
        <v/>
      </c>
      <c r="BI63" s="624"/>
      <c r="BJ63" s="598" t="str">
        <f t="shared" ref="BJ63:BJ64" ca="1" si="18">IF(AND(ISNUMBER(BI63)*1,ISNUMBER(BH63)*1),BI63,"-")</f>
        <v>-</v>
      </c>
      <c r="BK63" s="604">
        <f t="shared" ref="BK63:BK64" ca="1" si="19">SUM(K63:BI63)</f>
        <v>167.10000000000025</v>
      </c>
      <c r="BL63" s="600" t="str">
        <f ca="1">INDIRECT(ADDRESS(MATCH($B63,'【別紙1】標高（入力）'!$B:$B,0),'【別紙1】標高（入力）'!$N$2,4,TRUE,"【別紙1】標高（入力）"))</f>
        <v>R1</v>
      </c>
      <c r="BM63" s="340">
        <f ca="1">INDIRECT(ADDRESS(MATCH($B63,'【別紙1】標高（入力）'!$B:$B,0),'【別紙1】標高（入力）'!$O$2,4,TRUE,"【別紙1】標高（入力）"))</f>
        <v>4.1002999999999998</v>
      </c>
      <c r="BN63" s="392"/>
    </row>
    <row r="64" spans="1:66" ht="15.95" customHeight="1">
      <c r="A64" s="119">
        <v>316</v>
      </c>
      <c r="B64" s="107" t="s">
        <v>441</v>
      </c>
      <c r="C64" s="114" t="s">
        <v>96</v>
      </c>
      <c r="D64" s="110" t="s">
        <v>330</v>
      </c>
      <c r="E64" s="109" t="s">
        <v>1417</v>
      </c>
      <c r="F64" s="111" t="s">
        <v>9</v>
      </c>
      <c r="G64" s="112" t="s">
        <v>31</v>
      </c>
      <c r="H64" s="112" t="s">
        <v>64</v>
      </c>
      <c r="I64" s="112" t="s">
        <v>539</v>
      </c>
      <c r="J64" s="112" t="s">
        <v>270</v>
      </c>
      <c r="K64" s="224"/>
      <c r="L64" s="228"/>
      <c r="M64" s="228"/>
      <c r="N64" s="228"/>
      <c r="O64" s="228"/>
      <c r="P64" s="221"/>
      <c r="Q64" s="124">
        <v>43.2</v>
      </c>
      <c r="R64" s="124">
        <v>26.8</v>
      </c>
      <c r="S64" s="124">
        <v>-6.4</v>
      </c>
      <c r="T64" s="124">
        <v>17.399999999999999</v>
      </c>
      <c r="U64" s="123">
        <v>14.1</v>
      </c>
      <c r="V64" s="411" t="s">
        <v>1270</v>
      </c>
      <c r="W64" s="228"/>
      <c r="X64" s="228"/>
      <c r="Y64" s="221"/>
      <c r="Z64" s="233" t="s">
        <v>20</v>
      </c>
      <c r="AA64" s="228"/>
      <c r="AB64" s="228"/>
      <c r="AC64" s="228"/>
      <c r="AD64" s="228"/>
      <c r="AE64" s="228"/>
      <c r="AF64" s="228"/>
      <c r="AG64" s="228"/>
      <c r="AH64" s="228"/>
      <c r="AI64" s="138" t="s">
        <v>260</v>
      </c>
      <c r="AJ64" s="228"/>
      <c r="AK64" s="228"/>
      <c r="AL64" s="228"/>
      <c r="AM64" s="228"/>
      <c r="AN64" s="138" t="s">
        <v>256</v>
      </c>
      <c r="AO64" s="139" t="s">
        <v>1070</v>
      </c>
      <c r="AP64" s="122"/>
      <c r="AQ64" s="122"/>
      <c r="AR64" s="122"/>
      <c r="AS64" s="121">
        <v>24.8</v>
      </c>
      <c r="AT64" s="122">
        <v>5.3</v>
      </c>
      <c r="AU64" s="125">
        <v>-1.8</v>
      </c>
      <c r="AV64" s="139" t="s">
        <v>527</v>
      </c>
      <c r="AW64" s="122"/>
      <c r="AX64" s="122"/>
      <c r="AY64" s="122"/>
      <c r="AZ64" s="121">
        <v>2.8</v>
      </c>
      <c r="BA64" s="458" t="s">
        <v>1070</v>
      </c>
      <c r="BB64" s="122"/>
      <c r="BC64" s="122"/>
      <c r="BD64" s="122" t="str">
        <f ca="1">INDIRECT(ADDRESS(MATCH($B64,'【別紙1】標高（入力）'!$B:$B,0),'【別紙1】標高（入力）'!AD$2,4,TRUE,"【別紙1】標高（入力）"))</f>
        <v/>
      </c>
      <c r="BE64" s="121">
        <f ca="1">INDIRECT(ADDRESS(MATCH($B64,'【別紙1】標高（入力）'!$B:$B,0),'【別紙1】標高（入力）'!AE$2,4,TRUE,"【別紙1】標高（入力）"))</f>
        <v>21.900000000000475</v>
      </c>
      <c r="BF64" s="122" t="str">
        <f ca="1">INDIRECT(ADDRESS(MATCH($B64,'【別紙1】標高（入力）'!$B:$B,0),'【別紙1】標高（入力）'!AF$2,4,TRUE,"【別紙1】標高（入力）"))</f>
        <v/>
      </c>
      <c r="BG64" s="122" t="str">
        <f ca="1">INDIRECT(ADDRESS(MATCH($B64,'【別紙1】標高（入力）'!$B:$B,0),'【別紙1】標高（入力）'!AG$2,4,TRUE,"【別紙1】標高（入力）"))</f>
        <v/>
      </c>
      <c r="BH64" s="122" t="str">
        <f ca="1">INDIRECT(ADDRESS(MATCH($B64,'【別紙1】標高（入力）'!$B:$B,0),'【別紙1】標高（入力）'!AH$2,4,TRUE,"【別紙1】標高（入力）"))</f>
        <v/>
      </c>
      <c r="BI64" s="624"/>
      <c r="BJ64" s="598" t="str">
        <f t="shared" ca="1" si="18"/>
        <v>-</v>
      </c>
      <c r="BK64" s="604">
        <f t="shared" ca="1" si="19"/>
        <v>148.10000000000048</v>
      </c>
      <c r="BL64" s="600" t="str">
        <f ca="1">INDIRECT(ADDRESS(MATCH($B64,'【別紙1】標高（入力）'!$B:$B,0),'【別紙1】標高（入力）'!$N$2,4,TRUE,"【別紙1】標高（入力）"))</f>
        <v>R1</v>
      </c>
      <c r="BM64" s="340">
        <f ca="1">INDIRECT(ADDRESS(MATCH($B64,'【別紙1】標高（入力）'!$B:$B,0),'【別紙1】標高（入力）'!$O$2,4,TRUE,"【別紙1】標高（入力）"))</f>
        <v>4.4231999999999996</v>
      </c>
      <c r="BN64" s="392"/>
    </row>
    <row r="65" spans="1:66" s="231" customFormat="1" ht="15.95" customHeight="1">
      <c r="A65" s="214">
        <v>317</v>
      </c>
      <c r="B65" s="595">
        <v>4603</v>
      </c>
      <c r="C65" s="216" t="s">
        <v>96</v>
      </c>
      <c r="D65" s="217" t="s">
        <v>572</v>
      </c>
      <c r="E65" s="218" t="s">
        <v>119</v>
      </c>
      <c r="F65" s="219" t="s">
        <v>12</v>
      </c>
      <c r="G65" s="220" t="s">
        <v>10</v>
      </c>
      <c r="H65" s="220" t="s">
        <v>541</v>
      </c>
      <c r="I65" s="220" t="s">
        <v>539</v>
      </c>
      <c r="J65" s="410" t="s">
        <v>270</v>
      </c>
      <c r="K65" s="228"/>
      <c r="L65" s="228"/>
      <c r="M65" s="221"/>
      <c r="N65" s="124">
        <v>11.4</v>
      </c>
      <c r="O65" s="136" t="s">
        <v>636</v>
      </c>
      <c r="P65" s="127">
        <v>5.3</v>
      </c>
      <c r="Q65" s="124">
        <v>12.8</v>
      </c>
      <c r="R65" s="124">
        <v>2.7</v>
      </c>
      <c r="S65" s="124">
        <v>2.4</v>
      </c>
      <c r="T65" s="124">
        <v>10.8</v>
      </c>
      <c r="U65" s="124">
        <v>3.2</v>
      </c>
      <c r="V65" s="124">
        <v>5.5</v>
      </c>
      <c r="W65" s="124">
        <v>14</v>
      </c>
      <c r="X65" s="124">
        <v>0.3</v>
      </c>
      <c r="Y65" s="136" t="s">
        <v>652</v>
      </c>
      <c r="Z65" s="122"/>
      <c r="AA65" s="122"/>
      <c r="AB65" s="127">
        <v>17.600000000000001</v>
      </c>
      <c r="AC65" s="136" t="s">
        <v>1273</v>
      </c>
      <c r="AD65" s="122"/>
      <c r="AE65" s="127">
        <v>7.7</v>
      </c>
      <c r="AF65" s="136" t="s">
        <v>1273</v>
      </c>
      <c r="AG65" s="122"/>
      <c r="AH65" s="122">
        <v>15.4</v>
      </c>
      <c r="AI65" s="139" t="s">
        <v>525</v>
      </c>
      <c r="AJ65" s="122"/>
      <c r="AK65" s="121">
        <v>10.4</v>
      </c>
      <c r="AL65" s="135" t="s">
        <v>525</v>
      </c>
      <c r="AM65" s="122"/>
      <c r="AN65" s="121">
        <v>16.2</v>
      </c>
      <c r="AO65" s="139" t="s">
        <v>1070</v>
      </c>
      <c r="AP65" s="122"/>
      <c r="AQ65" s="122"/>
      <c r="AR65" s="122"/>
      <c r="AS65" s="121">
        <v>31.5</v>
      </c>
      <c r="AT65" s="125">
        <v>6</v>
      </c>
      <c r="AU65" s="225"/>
      <c r="AV65" s="228"/>
      <c r="AW65" s="228"/>
      <c r="AX65" s="228"/>
      <c r="AY65" s="228"/>
      <c r="AZ65" s="232"/>
      <c r="BA65" s="462"/>
      <c r="BB65" s="228"/>
      <c r="BC65" s="228"/>
      <c r="BD65" s="228"/>
      <c r="BE65" s="228"/>
      <c r="BF65" s="228"/>
      <c r="BG65" s="228"/>
      <c r="BH65" s="625"/>
      <c r="BI65" s="625"/>
      <c r="BJ65" s="599" t="str">
        <f t="shared" si="0"/>
        <v>-</v>
      </c>
      <c r="BK65" s="605">
        <f t="shared" si="1"/>
        <v>173.20000000000002</v>
      </c>
      <c r="BL65" s="601" t="str">
        <f ca="1">INDIRECT(ADDRESS(MATCH($B65,'【別紙1】標高（入力）'!$B:$B,0),'【別紙1】標高（入力）'!$N$2,4,TRUE,"【別紙1】標高（入力）"))</f>
        <v>H20</v>
      </c>
      <c r="BM65" s="341">
        <f ca="1">INDIRECT(ADDRESS(MATCH($B65,'【別紙1】標高（入力）'!$B:$B,0),'【別紙1】標高（入力）'!$O$2,4,TRUE,"【別紙1】標高（入力）"))</f>
        <v>11.1305</v>
      </c>
      <c r="BN65" s="393" t="s">
        <v>524</v>
      </c>
    </row>
    <row r="66" spans="1:66" s="231" customFormat="1" ht="15.95" customHeight="1">
      <c r="A66" s="214">
        <v>318</v>
      </c>
      <c r="B66" s="595">
        <v>4604</v>
      </c>
      <c r="C66" s="216" t="s">
        <v>96</v>
      </c>
      <c r="D66" s="217" t="s">
        <v>330</v>
      </c>
      <c r="E66" s="218" t="s">
        <v>299</v>
      </c>
      <c r="F66" s="219" t="s">
        <v>12</v>
      </c>
      <c r="G66" s="220" t="s">
        <v>10</v>
      </c>
      <c r="H66" s="220" t="s">
        <v>64</v>
      </c>
      <c r="I66" s="220" t="s">
        <v>539</v>
      </c>
      <c r="J66" s="410" t="s">
        <v>270</v>
      </c>
      <c r="K66" s="228"/>
      <c r="L66" s="228"/>
      <c r="M66" s="221"/>
      <c r="N66" s="124">
        <v>17.7</v>
      </c>
      <c r="O66" s="124">
        <v>-6</v>
      </c>
      <c r="P66" s="124">
        <v>20.7</v>
      </c>
      <c r="Q66" s="124">
        <v>15.5</v>
      </c>
      <c r="R66" s="124">
        <v>-0.8</v>
      </c>
      <c r="S66" s="124">
        <v>5.6</v>
      </c>
      <c r="T66" s="124">
        <v>14</v>
      </c>
      <c r="U66" s="124">
        <v>9</v>
      </c>
      <c r="V66" s="124">
        <v>10.7</v>
      </c>
      <c r="W66" s="124">
        <v>19.5</v>
      </c>
      <c r="X66" s="124">
        <v>2</v>
      </c>
      <c r="Y66" s="136" t="s">
        <v>120</v>
      </c>
      <c r="Z66" s="122"/>
      <c r="AA66" s="122"/>
      <c r="AB66" s="122"/>
      <c r="AC66" s="135"/>
      <c r="AD66" s="122"/>
      <c r="AE66" s="122"/>
      <c r="AF66" s="122"/>
      <c r="AG66" s="122"/>
      <c r="AH66" s="121">
        <v>77.2</v>
      </c>
      <c r="AI66" s="225"/>
      <c r="AJ66" s="228"/>
      <c r="AK66" s="228"/>
      <c r="AL66" s="228"/>
      <c r="AM66" s="228"/>
      <c r="AN66" s="232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32"/>
      <c r="BA66" s="462"/>
      <c r="BB66" s="228"/>
      <c r="BC66" s="228"/>
      <c r="BD66" s="228"/>
      <c r="BE66" s="228"/>
      <c r="BF66" s="228"/>
      <c r="BG66" s="228"/>
      <c r="BH66" s="625"/>
      <c r="BI66" s="625"/>
      <c r="BJ66" s="599" t="str">
        <f t="shared" si="0"/>
        <v>-</v>
      </c>
      <c r="BK66" s="605">
        <f t="shared" si="1"/>
        <v>185.10000000000002</v>
      </c>
      <c r="BL66" s="603" t="s">
        <v>1188</v>
      </c>
      <c r="BM66" s="344" t="s">
        <v>1189</v>
      </c>
      <c r="BN66" s="393" t="s">
        <v>724</v>
      </c>
    </row>
    <row r="67" spans="1:66" ht="15.95" customHeight="1">
      <c r="A67" s="119">
        <v>319</v>
      </c>
      <c r="B67" s="591">
        <v>4605</v>
      </c>
      <c r="C67" s="114" t="s">
        <v>96</v>
      </c>
      <c r="D67" s="110" t="s">
        <v>331</v>
      </c>
      <c r="E67" s="109" t="s">
        <v>299</v>
      </c>
      <c r="F67" s="111" t="s">
        <v>12</v>
      </c>
      <c r="G67" s="112" t="s">
        <v>31</v>
      </c>
      <c r="H67" s="112" t="s">
        <v>64</v>
      </c>
      <c r="I67" s="112" t="s">
        <v>539</v>
      </c>
      <c r="J67" s="112" t="s">
        <v>270</v>
      </c>
      <c r="K67" s="224"/>
      <c r="L67" s="228"/>
      <c r="M67" s="228"/>
      <c r="N67" s="228"/>
      <c r="O67" s="228"/>
      <c r="P67" s="221"/>
      <c r="Q67" s="124">
        <v>16.600000000000001</v>
      </c>
      <c r="R67" s="124">
        <v>4.5999999999999996</v>
      </c>
      <c r="S67" s="124">
        <v>5.0999999999999996</v>
      </c>
      <c r="T67" s="124">
        <v>16.2</v>
      </c>
      <c r="U67" s="136" t="s">
        <v>636</v>
      </c>
      <c r="V67" s="127">
        <v>14.4</v>
      </c>
      <c r="W67" s="136" t="s">
        <v>95</v>
      </c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1">
        <v>61.4</v>
      </c>
      <c r="AI67" s="139" t="s">
        <v>685</v>
      </c>
      <c r="AJ67" s="122"/>
      <c r="AK67" s="122"/>
      <c r="AL67" s="122"/>
      <c r="AM67" s="122"/>
      <c r="AN67" s="122">
        <v>24.7</v>
      </c>
      <c r="AO67" s="139" t="s">
        <v>1072</v>
      </c>
      <c r="AP67" s="122"/>
      <c r="AQ67" s="122"/>
      <c r="AR67" s="122"/>
      <c r="AS67" s="122"/>
      <c r="AT67" s="122">
        <v>39.799999999999997</v>
      </c>
      <c r="AU67" s="125">
        <v>-0.2</v>
      </c>
      <c r="AV67" s="139" t="s">
        <v>527</v>
      </c>
      <c r="AW67" s="122"/>
      <c r="AX67" s="122"/>
      <c r="AY67" s="122"/>
      <c r="AZ67" s="121">
        <v>14.9</v>
      </c>
      <c r="BA67" s="458" t="s">
        <v>1070</v>
      </c>
      <c r="BB67" s="122"/>
      <c r="BC67" s="122"/>
      <c r="BD67" s="122" t="str">
        <f ca="1">INDIRECT(ADDRESS(MATCH($B67,'【別紙1】標高（入力）'!$B:$B,0),'【別紙1】標高（入力）'!AD$2,4,TRUE,"【別紙1】標高（入力）"))</f>
        <v/>
      </c>
      <c r="BE67" s="121">
        <f ca="1">INDIRECT(ADDRESS(MATCH($B67,'【別紙1】標高（入力）'!$B:$B,0),'【別紙1】標高（入力）'!AE$2,4,TRUE,"【別紙1】標高（入力）"))</f>
        <v>20.599999999999952</v>
      </c>
      <c r="BF67" s="135" t="s">
        <v>1273</v>
      </c>
      <c r="BG67" s="122" t="str">
        <f ca="1">INDIRECT(ADDRESS(MATCH($B67,'【別紙1】標高（入力）'!$B:$B,0),'【別紙1】標高（入力）'!AG$2,4,TRUE,"【別紙1】標高（入力）"))</f>
        <v/>
      </c>
      <c r="BH67" s="121">
        <f ca="1">INDIRECT(ADDRESS(MATCH($B67,'【別紙1】標高（入力）'!$B:$B,0),'【別紙1】標高（入力）'!AH$2,4,TRUE,"【別紙1】標高（入力）"))</f>
        <v>8.6999999999992639</v>
      </c>
      <c r="BI67" s="624"/>
      <c r="BJ67" s="598" t="str">
        <f ca="1">IF(AND(ISNUMBER(BI67)*1,ISNUMBER(BH67)*1),BI67,"-")</f>
        <v>-</v>
      </c>
      <c r="BK67" s="604">
        <f ca="1">SUM(K67:BI67)</f>
        <v>226.79999999999922</v>
      </c>
      <c r="BL67" s="600" t="str">
        <f ca="1">INDIRECT(ADDRESS(MATCH($B67,'【別紙1】標高（入力）'!$B:$B,0),'【別紙1】標高（入力）'!$N$2,4,TRUE,"【別紙1】標高（入力）"))</f>
        <v>R4</v>
      </c>
      <c r="BM67" s="340">
        <f ca="1">INDIRECT(ADDRESS(MATCH($B67,'【別紙1】標高（入力）'!$B:$B,0),'【別紙1】標高（入力）'!$O$2,4,TRUE,"【別紙1】標高（入力）"))</f>
        <v>9.3406000000000002</v>
      </c>
      <c r="BN67" s="392"/>
    </row>
    <row r="68" spans="1:66" s="231" customFormat="1" ht="15.95" customHeight="1">
      <c r="A68" s="214">
        <v>320</v>
      </c>
      <c r="B68" s="215" t="s">
        <v>445</v>
      </c>
      <c r="C68" s="216" t="s">
        <v>96</v>
      </c>
      <c r="D68" s="217" t="s">
        <v>332</v>
      </c>
      <c r="E68" s="218" t="s">
        <v>123</v>
      </c>
      <c r="F68" s="219" t="s">
        <v>9</v>
      </c>
      <c r="G68" s="220" t="s">
        <v>10</v>
      </c>
      <c r="H68" s="220" t="s">
        <v>64</v>
      </c>
      <c r="I68" s="220" t="s">
        <v>539</v>
      </c>
      <c r="J68" s="410" t="s">
        <v>270</v>
      </c>
      <c r="K68" s="228"/>
      <c r="L68" s="228"/>
      <c r="M68" s="221"/>
      <c r="N68" s="124">
        <v>12</v>
      </c>
      <c r="O68" s="136" t="s">
        <v>636</v>
      </c>
      <c r="P68" s="127">
        <v>19.2</v>
      </c>
      <c r="Q68" s="124">
        <v>23.1</v>
      </c>
      <c r="R68" s="124">
        <v>3.4</v>
      </c>
      <c r="S68" s="124">
        <v>2.1</v>
      </c>
      <c r="T68" s="124">
        <v>17.399999999999999</v>
      </c>
      <c r="U68" s="124">
        <v>-0.6</v>
      </c>
      <c r="V68" s="124">
        <v>18.399999999999999</v>
      </c>
      <c r="W68" s="124">
        <v>35.4</v>
      </c>
      <c r="X68" s="124">
        <v>10.6</v>
      </c>
      <c r="Y68" s="136" t="s">
        <v>652</v>
      </c>
      <c r="Z68" s="122"/>
      <c r="AA68" s="122"/>
      <c r="AB68" s="127">
        <v>18.399999999999999</v>
      </c>
      <c r="AC68" s="136" t="s">
        <v>1273</v>
      </c>
      <c r="AD68" s="122"/>
      <c r="AE68" s="127">
        <v>9.1999999999999993</v>
      </c>
      <c r="AF68" s="136" t="s">
        <v>1273</v>
      </c>
      <c r="AG68" s="122"/>
      <c r="AH68" s="122">
        <v>16.7</v>
      </c>
      <c r="AI68" s="225"/>
      <c r="AJ68" s="228"/>
      <c r="AK68" s="228"/>
      <c r="AL68" s="228"/>
      <c r="AM68" s="228"/>
      <c r="AN68" s="228"/>
      <c r="AO68" s="232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462"/>
      <c r="BB68" s="228"/>
      <c r="BC68" s="228"/>
      <c r="BD68" s="228"/>
      <c r="BE68" s="228"/>
      <c r="BF68" s="228"/>
      <c r="BG68" s="228"/>
      <c r="BH68" s="625"/>
      <c r="BI68" s="625"/>
      <c r="BJ68" s="599" t="str">
        <f t="shared" si="0"/>
        <v>-</v>
      </c>
      <c r="BK68" s="605">
        <f t="shared" si="1"/>
        <v>185.29999999999998</v>
      </c>
      <c r="BL68" s="603" t="s">
        <v>1188</v>
      </c>
      <c r="BM68" s="344" t="s">
        <v>1189</v>
      </c>
      <c r="BN68" s="393" t="s">
        <v>261</v>
      </c>
    </row>
    <row r="69" spans="1:66" ht="15.95" customHeight="1">
      <c r="A69" s="119">
        <v>321</v>
      </c>
      <c r="B69" s="107" t="s">
        <v>447</v>
      </c>
      <c r="C69" s="114" t="s">
        <v>96</v>
      </c>
      <c r="D69" s="110" t="s">
        <v>333</v>
      </c>
      <c r="E69" s="109" t="s">
        <v>125</v>
      </c>
      <c r="F69" s="111" t="s">
        <v>9</v>
      </c>
      <c r="G69" s="112" t="s">
        <v>31</v>
      </c>
      <c r="H69" s="112" t="s">
        <v>64</v>
      </c>
      <c r="I69" s="112" t="s">
        <v>539</v>
      </c>
      <c r="J69" s="108" t="s">
        <v>270</v>
      </c>
      <c r="K69" s="228"/>
      <c r="L69" s="228"/>
      <c r="M69" s="221"/>
      <c r="N69" s="228"/>
      <c r="O69" s="228"/>
      <c r="P69" s="221"/>
      <c r="Q69" s="124">
        <v>21.7</v>
      </c>
      <c r="R69" s="124">
        <v>7</v>
      </c>
      <c r="S69" s="124">
        <v>-1</v>
      </c>
      <c r="T69" s="124">
        <v>15.1</v>
      </c>
      <c r="U69" s="124">
        <v>-3.2</v>
      </c>
      <c r="V69" s="123">
        <v>25.2</v>
      </c>
      <c r="W69" s="411" t="s">
        <v>1270</v>
      </c>
      <c r="X69" s="127">
        <v>14.8</v>
      </c>
      <c r="Y69" s="124">
        <v>-2.2999999999999998</v>
      </c>
      <c r="Z69" s="124">
        <v>5.8</v>
      </c>
      <c r="AA69" s="124">
        <v>8.1999999999999993</v>
      </c>
      <c r="AB69" s="124">
        <v>-2.2999999999999998</v>
      </c>
      <c r="AC69" s="124">
        <v>9</v>
      </c>
      <c r="AD69" s="124">
        <v>-0.6</v>
      </c>
      <c r="AE69" s="124">
        <v>-2</v>
      </c>
      <c r="AF69" s="124">
        <v>6.3</v>
      </c>
      <c r="AG69" s="124">
        <v>6.1</v>
      </c>
      <c r="AH69" s="123">
        <v>-0.3</v>
      </c>
      <c r="AI69" s="125">
        <v>10.4</v>
      </c>
      <c r="AJ69" s="128">
        <v>-4.3</v>
      </c>
      <c r="AK69" s="128">
        <v>2.8</v>
      </c>
      <c r="AL69" s="123">
        <v>5.5</v>
      </c>
      <c r="AM69" s="123">
        <v>3.9999999999995599</v>
      </c>
      <c r="AN69" s="128">
        <v>-6.2</v>
      </c>
      <c r="AO69" s="122">
        <v>9.4</v>
      </c>
      <c r="AP69" s="126">
        <v>5.0999999999999996</v>
      </c>
      <c r="AQ69" s="135" t="s">
        <v>637</v>
      </c>
      <c r="AR69" s="122">
        <v>2.10000000000043</v>
      </c>
      <c r="AS69" s="139" t="s">
        <v>1068</v>
      </c>
      <c r="AT69" s="122"/>
      <c r="AU69" s="121">
        <v>0.9</v>
      </c>
      <c r="AV69" s="126">
        <v>3.6</v>
      </c>
      <c r="AW69" s="135" t="s">
        <v>1069</v>
      </c>
      <c r="AX69" s="122">
        <v>6</v>
      </c>
      <c r="AY69" s="139" t="s">
        <v>1070</v>
      </c>
      <c r="AZ69" s="122"/>
      <c r="BA69" s="460"/>
      <c r="BB69" s="122"/>
      <c r="BC69" s="122">
        <v>2.7</v>
      </c>
      <c r="BD69" s="634" t="s">
        <v>1515</v>
      </c>
      <c r="BE69" s="632" t="str">
        <f ca="1">INDIRECT(ADDRESS(MATCH($B69,'【別紙1】標高（入力）'!$B:$B,0),'【別紙1】標高（入力）'!AE$2,4,TRUE,"【別紙1】標高（入力）"))</f>
        <v/>
      </c>
      <c r="BF69" s="632" t="str">
        <f ca="1">INDIRECT(ADDRESS(MATCH($B69,'【別紙1】標高（入力）'!$B:$B,0),'【別紙1】標高（入力）'!AF$2,4,TRUE,"【別紙1】標高（入力）"))</f>
        <v/>
      </c>
      <c r="BG69" s="632" t="str">
        <f ca="1">INDIRECT(ADDRESS(MATCH($B69,'【別紙1】標高（入力）'!$B:$B,0),'【別紙1】標高（入力）'!AG$2,4,TRUE,"【別紙1】標高（入力）"))</f>
        <v/>
      </c>
      <c r="BH69" s="569" t="str">
        <f ca="1">INDIRECT(ADDRESS(MATCH($B69,'【別紙1】標高（入力）'!$B:$B,0),'【別紙1】標高（入力）'!AH$2,4,TRUE,"【別紙1】標高（入力）"))</f>
        <v/>
      </c>
      <c r="BI69" s="569">
        <f ca="1">INDIRECT(ADDRESS(MATCH($B69,'【別紙1】標高（入力）'!$B:$B,0),'【別紙1】標高（入力）'!AI$2,4,TRUE,"【別紙1】標高（入力）"))</f>
        <v>14.599999999999724</v>
      </c>
      <c r="BJ69" s="598" t="str">
        <f t="shared" ca="1" si="0"/>
        <v>-</v>
      </c>
      <c r="BK69" s="604">
        <f t="shared" ca="1" si="1"/>
        <v>149.49999999999997</v>
      </c>
      <c r="BL69" s="602" t="str">
        <f ca="1">INDIRECT(ADDRESS(MATCH($B69,'【別紙1】標高（入力）'!$B:$B,0),'【別紙1】標高（入力）'!$N$2,4,TRUE,"【別紙1】標高（入力）"))</f>
        <v>R5</v>
      </c>
      <c r="BM69" s="342">
        <f ca="1">INDIRECT(ADDRESS(MATCH($B69,'【別紙1】標高（入力）'!$B:$B,0),'【別紙1】標高（入力）'!$O$2,4,TRUE,"【別紙1】標高（入力）"))</f>
        <v>8.1942000000000004</v>
      </c>
      <c r="BN69" s="392"/>
    </row>
    <row r="70" spans="1:66" ht="15.95" customHeight="1">
      <c r="A70" s="119">
        <v>322</v>
      </c>
      <c r="B70" s="107" t="s">
        <v>449</v>
      </c>
      <c r="C70" s="114" t="s">
        <v>96</v>
      </c>
      <c r="D70" s="110" t="s">
        <v>657</v>
      </c>
      <c r="E70" s="109" t="s">
        <v>126</v>
      </c>
      <c r="F70" s="111" t="s">
        <v>9</v>
      </c>
      <c r="G70" s="112" t="s">
        <v>127</v>
      </c>
      <c r="H70" s="112" t="s">
        <v>721</v>
      </c>
      <c r="I70" s="112" t="s">
        <v>54</v>
      </c>
      <c r="J70" s="112" t="s">
        <v>270</v>
      </c>
      <c r="K70" s="224"/>
      <c r="L70" s="228"/>
      <c r="M70" s="228"/>
      <c r="N70" s="228"/>
      <c r="O70" s="228"/>
      <c r="P70" s="228"/>
      <c r="Q70" s="221"/>
      <c r="R70" s="124">
        <v>11.9</v>
      </c>
      <c r="S70" s="124">
        <v>1.9</v>
      </c>
      <c r="T70" s="124">
        <v>19.8</v>
      </c>
      <c r="U70" s="124">
        <v>-3.5</v>
      </c>
      <c r="V70" s="124">
        <v>49.9</v>
      </c>
      <c r="W70" s="124">
        <v>28.7</v>
      </c>
      <c r="X70" s="124">
        <v>28.6</v>
      </c>
      <c r="Y70" s="136" t="s">
        <v>652</v>
      </c>
      <c r="Z70" s="122"/>
      <c r="AA70" s="122"/>
      <c r="AB70" s="127">
        <v>86.3</v>
      </c>
      <c r="AC70" s="233"/>
      <c r="AD70" s="228"/>
      <c r="AE70" s="411" t="s">
        <v>47</v>
      </c>
      <c r="AF70" s="232"/>
      <c r="AG70" s="228"/>
      <c r="AH70" s="411" t="s">
        <v>47</v>
      </c>
      <c r="AI70" s="135" t="s">
        <v>695</v>
      </c>
      <c r="AJ70" s="122"/>
      <c r="AK70" s="122"/>
      <c r="AL70" s="122"/>
      <c r="AM70" s="122"/>
      <c r="AN70" s="122"/>
      <c r="AO70" s="122">
        <v>86.5</v>
      </c>
      <c r="AP70" s="139" t="s">
        <v>1071</v>
      </c>
      <c r="AQ70" s="122"/>
      <c r="AR70" s="122"/>
      <c r="AS70" s="121">
        <v>36.200000000000003</v>
      </c>
      <c r="AT70" s="122">
        <v>14.4</v>
      </c>
      <c r="AU70" s="126">
        <v>0.5</v>
      </c>
      <c r="AV70" s="126">
        <v>5.3</v>
      </c>
      <c r="AW70" s="135" t="s">
        <v>1069</v>
      </c>
      <c r="AX70" s="122">
        <v>14.9</v>
      </c>
      <c r="AY70" s="139" t="s">
        <v>1069</v>
      </c>
      <c r="AZ70" s="121">
        <v>13.1</v>
      </c>
      <c r="BA70" s="463" t="s">
        <v>1068</v>
      </c>
      <c r="BB70" s="122"/>
      <c r="BC70" s="122">
        <v>13.9</v>
      </c>
      <c r="BD70" s="139" t="s">
        <v>1069</v>
      </c>
      <c r="BE70" s="121">
        <f ca="1">INDIRECT(ADDRESS(MATCH($B70,'【別紙1】標高（入力）'!$B:$B,0),'【別紙1】標高（入力）'!AE$2,4,TRUE,"【別紙1】標高（入力）"))</f>
        <v>18.799999999999706</v>
      </c>
      <c r="BF70" s="633" t="s">
        <v>1337</v>
      </c>
      <c r="BG70" s="632" t="str">
        <f ca="1">INDIRECT(ADDRESS(MATCH($B70,'【別紙1】標高（入力）'!$B:$B,0),'【別紙1】標高（入力）'!AG$2,4,TRUE,"【別紙1】標高（入力）"))</f>
        <v/>
      </c>
      <c r="BH70" s="632" t="str">
        <f ca="1">INDIRECT(ADDRESS(MATCH($B70,'【別紙1】標高（入力）'!$B:$B,0),'【別紙1】標高（入力）'!AH$2,4,TRUE,"【別紙1】標高（入力）"))</f>
        <v/>
      </c>
      <c r="BI70" s="569">
        <f ca="1">INDIRECT(ADDRESS(MATCH($B70,'【別紙1】標高（入力）'!$B:$B,0),'【別紙1】標高（入力）'!AI$2,4,TRUE,"【別紙1】標高（入力）"))</f>
        <v>22.20000000000022</v>
      </c>
      <c r="BJ70" s="598" t="str">
        <f t="shared" ref="BJ70:BJ74" ca="1" si="20">IF(AND(ISNUMBER(BI70)*1,ISNUMBER(BH70)*1),BI70,"-")</f>
        <v>-</v>
      </c>
      <c r="BK70" s="604">
        <f t="shared" ref="BK70:BK74" ca="1" si="21">SUM(K70:BI70)</f>
        <v>449.39999999999992</v>
      </c>
      <c r="BL70" s="600" t="str">
        <f ca="1">INDIRECT(ADDRESS(MATCH($B70,'【別紙1】標高（入力）'!$B:$B,0),'【別紙1】標高（入力）'!$N$2,4,TRUE,"【別紙1】標高（入力）"))</f>
        <v>R5</v>
      </c>
      <c r="BM70" s="340">
        <f ca="1">INDIRECT(ADDRESS(MATCH($B70,'【別紙1】標高（入力）'!$B:$B,0),'【別紙1】標高（入力）'!$O$2,4,TRUE,"【別紙1】標高（入力）"))</f>
        <v>3.5131999999999999</v>
      </c>
      <c r="BN70" s="392"/>
    </row>
    <row r="71" spans="1:66" ht="15.95" customHeight="1">
      <c r="A71" s="119">
        <v>323</v>
      </c>
      <c r="B71" s="107" t="s">
        <v>451</v>
      </c>
      <c r="C71" s="114" t="s">
        <v>96</v>
      </c>
      <c r="D71" s="110" t="s">
        <v>658</v>
      </c>
      <c r="E71" s="109" t="s">
        <v>299</v>
      </c>
      <c r="F71" s="111" t="s">
        <v>9</v>
      </c>
      <c r="G71" s="112" t="s">
        <v>31</v>
      </c>
      <c r="H71" s="112" t="s">
        <v>541</v>
      </c>
      <c r="I71" s="112" t="s">
        <v>539</v>
      </c>
      <c r="J71" s="112" t="s">
        <v>270</v>
      </c>
      <c r="K71" s="224"/>
      <c r="L71" s="228"/>
      <c r="M71" s="228"/>
      <c r="N71" s="228"/>
      <c r="O71" s="228"/>
      <c r="P71" s="221"/>
      <c r="Q71" s="124">
        <v>60.7</v>
      </c>
      <c r="R71" s="124">
        <v>0.9</v>
      </c>
      <c r="S71" s="124">
        <v>-1.5</v>
      </c>
      <c r="T71" s="124">
        <v>21.8</v>
      </c>
      <c r="U71" s="124">
        <v>-1</v>
      </c>
      <c r="V71" s="124">
        <v>14.3</v>
      </c>
      <c r="W71" s="136" t="s">
        <v>679</v>
      </c>
      <c r="X71" s="122"/>
      <c r="Y71" s="122"/>
      <c r="Z71" s="122"/>
      <c r="AA71" s="122"/>
      <c r="AB71" s="127">
        <v>29.9</v>
      </c>
      <c r="AC71" s="136" t="s">
        <v>1273</v>
      </c>
      <c r="AD71" s="122"/>
      <c r="AE71" s="127">
        <v>2.1</v>
      </c>
      <c r="AF71" s="136" t="s">
        <v>1273</v>
      </c>
      <c r="AG71" s="122"/>
      <c r="AH71" s="122">
        <v>9.1999999999999993</v>
      </c>
      <c r="AI71" s="139" t="s">
        <v>695</v>
      </c>
      <c r="AJ71" s="122"/>
      <c r="AK71" s="122"/>
      <c r="AL71" s="122"/>
      <c r="AM71" s="122"/>
      <c r="AN71" s="122"/>
      <c r="AO71" s="122">
        <v>16.7</v>
      </c>
      <c r="AP71" s="139" t="s">
        <v>1071</v>
      </c>
      <c r="AQ71" s="122"/>
      <c r="AR71" s="122"/>
      <c r="AS71" s="121">
        <v>4.8</v>
      </c>
      <c r="AT71" s="122">
        <v>4.8</v>
      </c>
      <c r="AU71" s="126">
        <v>-2.2999999999999998</v>
      </c>
      <c r="AV71" s="126">
        <v>2.9</v>
      </c>
      <c r="AW71" s="135" t="s">
        <v>1069</v>
      </c>
      <c r="AX71" s="122">
        <v>3.6</v>
      </c>
      <c r="AY71" s="139" t="s">
        <v>1069</v>
      </c>
      <c r="AZ71" s="121">
        <v>1.4</v>
      </c>
      <c r="BA71" s="463" t="s">
        <v>1068</v>
      </c>
      <c r="BB71" s="122"/>
      <c r="BC71" s="122">
        <v>3.6</v>
      </c>
      <c r="BD71" s="139" t="s">
        <v>1069</v>
      </c>
      <c r="BE71" s="121">
        <f ca="1">INDIRECT(ADDRESS(MATCH($B71,'【別紙1】標高（入力）'!$B:$B,0),'【別紙1】標高（入力）'!AE$2,4,TRUE,"【別紙1】標高（入力）"))</f>
        <v>7.1999999999996511</v>
      </c>
      <c r="BF71" s="122" t="str">
        <f ca="1">INDIRECT(ADDRESS(MATCH($B71,'【別紙1】標高（入力）'!$B:$B,0),'【別紙1】標高（入力）'!AF$2,4,TRUE,"【別紙1】標高（入力）"))</f>
        <v/>
      </c>
      <c r="BG71" s="122" t="str">
        <f ca="1">INDIRECT(ADDRESS(MATCH($B71,'【別紙1】標高（入力）'!$B:$B,0),'【別紙1】標高（入力）'!AG$2,4,TRUE,"【別紙1】標高（入力）"))</f>
        <v/>
      </c>
      <c r="BH71" s="122" t="str">
        <f ca="1">INDIRECT(ADDRESS(MATCH($B71,'【別紙1】標高（入力）'!$B:$B,0),'【別紙1】標高（入力）'!AH$2,4,TRUE,"【別紙1】標高（入力）"))</f>
        <v/>
      </c>
      <c r="BI71" s="624"/>
      <c r="BJ71" s="598" t="str">
        <f t="shared" ca="1" si="20"/>
        <v>-</v>
      </c>
      <c r="BK71" s="604">
        <f t="shared" ca="1" si="21"/>
        <v>179.09999999999962</v>
      </c>
      <c r="BL71" s="600" t="str">
        <f ca="1">INDIRECT(ADDRESS(MATCH($B71,'【別紙1】標高（入力）'!$B:$B,0),'【別紙1】標高（入力）'!$N$2,4,TRUE,"【別紙1】標高（入力）"))</f>
        <v>R1</v>
      </c>
      <c r="BM71" s="340">
        <f ca="1">INDIRECT(ADDRESS(MATCH($B71,'【別紙1】標高（入力）'!$B:$B,0),'【別紙1】標高（入力）'!$O$2,4,TRUE,"【別紙1】標高（入力）"))</f>
        <v>3.3675000000000002</v>
      </c>
      <c r="BN71" s="392"/>
    </row>
    <row r="72" spans="1:66" ht="15.95" customHeight="1">
      <c r="A72" s="119">
        <v>324</v>
      </c>
      <c r="B72" s="107" t="s">
        <v>452</v>
      </c>
      <c r="C72" s="114" t="s">
        <v>96</v>
      </c>
      <c r="D72" s="110" t="s">
        <v>334</v>
      </c>
      <c r="E72" s="597" t="s">
        <v>1418</v>
      </c>
      <c r="F72" s="111" t="s">
        <v>9</v>
      </c>
      <c r="G72" s="112" t="s">
        <v>31</v>
      </c>
      <c r="H72" s="112" t="s">
        <v>64</v>
      </c>
      <c r="I72" s="112" t="s">
        <v>54</v>
      </c>
      <c r="J72" s="112" t="s">
        <v>270</v>
      </c>
      <c r="K72" s="224"/>
      <c r="L72" s="228"/>
      <c r="M72" s="228"/>
      <c r="N72" s="228"/>
      <c r="O72" s="228"/>
      <c r="P72" s="221"/>
      <c r="Q72" s="124">
        <v>22.2</v>
      </c>
      <c r="R72" s="124">
        <v>2.8</v>
      </c>
      <c r="S72" s="124">
        <v>-4.5999999999999996</v>
      </c>
      <c r="T72" s="124">
        <v>31.2</v>
      </c>
      <c r="U72" s="136" t="s">
        <v>93</v>
      </c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1">
        <v>164.8</v>
      </c>
      <c r="AI72" s="139" t="s">
        <v>695</v>
      </c>
      <c r="AJ72" s="122"/>
      <c r="AK72" s="122"/>
      <c r="AL72" s="122"/>
      <c r="AM72" s="122"/>
      <c r="AN72" s="122"/>
      <c r="AO72" s="122">
        <v>100.5</v>
      </c>
      <c r="AP72" s="139" t="s">
        <v>1071</v>
      </c>
      <c r="AQ72" s="122"/>
      <c r="AR72" s="122"/>
      <c r="AS72" s="121">
        <v>23.9</v>
      </c>
      <c r="AT72" s="122">
        <v>19.600000000000001</v>
      </c>
      <c r="AU72" s="126">
        <v>0.6</v>
      </c>
      <c r="AV72" s="126">
        <v>5</v>
      </c>
      <c r="AW72" s="135" t="s">
        <v>1069</v>
      </c>
      <c r="AX72" s="122">
        <v>-9.9</v>
      </c>
      <c r="AY72" s="139" t="s">
        <v>1069</v>
      </c>
      <c r="AZ72" s="121">
        <v>7.9</v>
      </c>
      <c r="BA72" s="463" t="s">
        <v>1068</v>
      </c>
      <c r="BB72" s="122"/>
      <c r="BC72" s="122">
        <v>2.2999999999999998</v>
      </c>
      <c r="BD72" s="139" t="s">
        <v>1069</v>
      </c>
      <c r="BE72" s="121">
        <f ca="1">INDIRECT(ADDRESS(MATCH($B72,'【別紙1】標高（入力）'!$B:$B,0),'【別紙1】標高（入力）'!AE$2,4,TRUE,"【別紙1】標高（入力）"))</f>
        <v>13.700000000000045</v>
      </c>
      <c r="BF72" s="122" t="str">
        <f ca="1">INDIRECT(ADDRESS(MATCH($B72,'【別紙1】標高（入力）'!$B:$B,0),'【別紙1】標高（入力）'!AF$2,4,TRUE,"【別紙1】標高（入力）"))</f>
        <v/>
      </c>
      <c r="BG72" s="122" t="str">
        <f ca="1">INDIRECT(ADDRESS(MATCH($B72,'【別紙1】標高（入力）'!$B:$B,0),'【別紙1】標高（入力）'!AG$2,4,TRUE,"【別紙1】標高（入力）"))</f>
        <v/>
      </c>
      <c r="BH72" s="122" t="str">
        <f ca="1">INDIRECT(ADDRESS(MATCH($B72,'【別紙1】標高（入力）'!$B:$B,0),'【別紙1】標高（入力）'!AH$2,4,TRUE,"【別紙1】標高（入力）"))</f>
        <v/>
      </c>
      <c r="BI72" s="624"/>
      <c r="BJ72" s="598" t="str">
        <f t="shared" ca="1" si="20"/>
        <v>-</v>
      </c>
      <c r="BK72" s="604">
        <f t="shared" ca="1" si="21"/>
        <v>380.00000000000006</v>
      </c>
      <c r="BL72" s="600" t="str">
        <f ca="1">INDIRECT(ADDRESS(MATCH($B72,'【別紙1】標高（入力）'!$B:$B,0),'【別紙1】標高（入力）'!$N$2,4,TRUE,"【別紙1】標高（入力）"))</f>
        <v>R1</v>
      </c>
      <c r="BM72" s="340">
        <f ca="1">INDIRECT(ADDRESS(MATCH($B72,'【別紙1】標高（入力）'!$B:$B,0),'【別紙1】標高（入力）'!$O$2,4,TRUE,"【別紙1】標高（入力）"))</f>
        <v>4.9245000000000001</v>
      </c>
      <c r="BN72" s="392"/>
    </row>
    <row r="73" spans="1:66" ht="15.95" customHeight="1">
      <c r="A73" s="119">
        <v>325</v>
      </c>
      <c r="B73" s="107" t="s">
        <v>454</v>
      </c>
      <c r="C73" s="114" t="s">
        <v>96</v>
      </c>
      <c r="D73" s="110" t="s">
        <v>334</v>
      </c>
      <c r="E73" s="109" t="s">
        <v>130</v>
      </c>
      <c r="F73" s="111" t="s">
        <v>9</v>
      </c>
      <c r="G73" s="112" t="s">
        <v>31</v>
      </c>
      <c r="H73" s="112" t="s">
        <v>64</v>
      </c>
      <c r="I73" s="112" t="s">
        <v>539</v>
      </c>
      <c r="J73" s="112" t="s">
        <v>270</v>
      </c>
      <c r="K73" s="224"/>
      <c r="L73" s="228"/>
      <c r="M73" s="228"/>
      <c r="N73" s="228"/>
      <c r="O73" s="228"/>
      <c r="P73" s="221"/>
      <c r="Q73" s="124">
        <v>16.100000000000001</v>
      </c>
      <c r="R73" s="124">
        <v>0.3</v>
      </c>
      <c r="S73" s="124">
        <v>-9.6999999999999993</v>
      </c>
      <c r="T73" s="124">
        <v>6.9</v>
      </c>
      <c r="U73" s="136" t="s">
        <v>93</v>
      </c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1">
        <v>-1.6</v>
      </c>
      <c r="AI73" s="139" t="s">
        <v>695</v>
      </c>
      <c r="AJ73" s="122"/>
      <c r="AK73" s="122"/>
      <c r="AL73" s="122"/>
      <c r="AM73" s="122"/>
      <c r="AN73" s="122"/>
      <c r="AO73" s="122">
        <v>12.2</v>
      </c>
      <c r="AP73" s="139" t="s">
        <v>1071</v>
      </c>
      <c r="AQ73" s="122"/>
      <c r="AR73" s="122"/>
      <c r="AS73" s="121">
        <v>0.2</v>
      </c>
      <c r="AT73" s="122">
        <v>1.5</v>
      </c>
      <c r="AU73" s="126">
        <v>0.3</v>
      </c>
      <c r="AV73" s="126">
        <v>5.9</v>
      </c>
      <c r="AW73" s="135" t="s">
        <v>1069</v>
      </c>
      <c r="AX73" s="122">
        <v>-0.8</v>
      </c>
      <c r="AY73" s="139" t="s">
        <v>1069</v>
      </c>
      <c r="AZ73" s="121">
        <v>1.4</v>
      </c>
      <c r="BA73" s="463" t="s">
        <v>1068</v>
      </c>
      <c r="BB73" s="122"/>
      <c r="BC73" s="122">
        <v>4.4000000000000004</v>
      </c>
      <c r="BD73" s="139" t="s">
        <v>1069</v>
      </c>
      <c r="BE73" s="121">
        <f ca="1">INDIRECT(ADDRESS(MATCH($B73,'【別紙1】標高（入力）'!$B:$B,0),'【別紙1】標高（入力）'!AE$2,4,TRUE,"【別紙1】標高（入力）"))</f>
        <v>5.6000000000002714</v>
      </c>
      <c r="BF73" s="122" t="str">
        <f ca="1">INDIRECT(ADDRESS(MATCH($B73,'【別紙1】標高（入力）'!$B:$B,0),'【別紙1】標高（入力）'!AF$2,4,TRUE,"【別紙1】標高（入力）"))</f>
        <v/>
      </c>
      <c r="BG73" s="122" t="str">
        <f ca="1">INDIRECT(ADDRESS(MATCH($B73,'【別紙1】標高（入力）'!$B:$B,0),'【別紙1】標高（入力）'!AG$2,4,TRUE,"【別紙1】標高（入力）"))</f>
        <v/>
      </c>
      <c r="BH73" s="122" t="str">
        <f ca="1">INDIRECT(ADDRESS(MATCH($B73,'【別紙1】標高（入力）'!$B:$B,0),'【別紙1】標高（入力）'!AH$2,4,TRUE,"【別紙1】標高（入力）"))</f>
        <v/>
      </c>
      <c r="BI73" s="624"/>
      <c r="BJ73" s="598" t="str">
        <f t="shared" ca="1" si="20"/>
        <v>-</v>
      </c>
      <c r="BK73" s="604">
        <f t="shared" ca="1" si="21"/>
        <v>42.700000000000273</v>
      </c>
      <c r="BL73" s="600" t="str">
        <f ca="1">INDIRECT(ADDRESS(MATCH($B73,'【別紙1】標高（入力）'!$B:$B,0),'【別紙1】標高（入力）'!$N$2,4,TRUE,"【別紙1】標高（入力）"))</f>
        <v>R1</v>
      </c>
      <c r="BM73" s="340">
        <f ca="1">INDIRECT(ADDRESS(MATCH($B73,'【別紙1】標高（入力）'!$B:$B,0),'【別紙1】標高（入力）'!$O$2,4,TRUE,"【別紙1】標高（入力）"))</f>
        <v>4.7450000000000001</v>
      </c>
      <c r="BN73" s="392"/>
    </row>
    <row r="74" spans="1:66" ht="15.95" customHeight="1">
      <c r="A74" s="119">
        <v>326</v>
      </c>
      <c r="B74" s="107" t="s">
        <v>456</v>
      </c>
      <c r="C74" s="114" t="s">
        <v>96</v>
      </c>
      <c r="D74" s="110" t="s">
        <v>334</v>
      </c>
      <c r="E74" s="109" t="s">
        <v>131</v>
      </c>
      <c r="F74" s="111" t="s">
        <v>9</v>
      </c>
      <c r="G74" s="112" t="s">
        <v>31</v>
      </c>
      <c r="H74" s="112" t="s">
        <v>64</v>
      </c>
      <c r="I74" s="112" t="s">
        <v>54</v>
      </c>
      <c r="J74" s="112" t="s">
        <v>270</v>
      </c>
      <c r="K74" s="224"/>
      <c r="L74" s="228"/>
      <c r="M74" s="228"/>
      <c r="N74" s="228"/>
      <c r="O74" s="228"/>
      <c r="P74" s="221"/>
      <c r="Q74" s="124">
        <v>24.7</v>
      </c>
      <c r="R74" s="124">
        <v>4.5999999999999996</v>
      </c>
      <c r="S74" s="124">
        <v>1.8</v>
      </c>
      <c r="T74" s="124">
        <v>11.7</v>
      </c>
      <c r="U74" s="136" t="s">
        <v>93</v>
      </c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1">
        <v>30.1</v>
      </c>
      <c r="AI74" s="139" t="s">
        <v>695</v>
      </c>
      <c r="AJ74" s="122"/>
      <c r="AK74" s="122"/>
      <c r="AL74" s="122"/>
      <c r="AM74" s="122"/>
      <c r="AN74" s="122"/>
      <c r="AO74" s="122">
        <v>17.899999999999999</v>
      </c>
      <c r="AP74" s="139" t="s">
        <v>1071</v>
      </c>
      <c r="AQ74" s="122"/>
      <c r="AR74" s="122"/>
      <c r="AS74" s="121">
        <v>2.4</v>
      </c>
      <c r="AT74" s="122">
        <v>1.6</v>
      </c>
      <c r="AU74" s="126">
        <v>-0.6</v>
      </c>
      <c r="AV74" s="121">
        <v>7</v>
      </c>
      <c r="AW74" s="135" t="s">
        <v>1069</v>
      </c>
      <c r="AX74" s="122">
        <v>-0.2</v>
      </c>
      <c r="AY74" s="139" t="s">
        <v>1069</v>
      </c>
      <c r="AZ74" s="121">
        <v>0.1</v>
      </c>
      <c r="BA74" s="463" t="s">
        <v>1068</v>
      </c>
      <c r="BB74" s="122"/>
      <c r="BC74" s="122">
        <v>4.9000000000000004</v>
      </c>
      <c r="BD74" s="139" t="s">
        <v>1069</v>
      </c>
      <c r="BE74" s="121">
        <f ca="1">INDIRECT(ADDRESS(MATCH($B74,'【別紙1】標高（入力）'!$B:$B,0),'【別紙1】標高（入力）'!AE$2,4,TRUE,"【別紙1】標高（入力）"))</f>
        <v>5.1000000000005485</v>
      </c>
      <c r="BF74" s="122" t="str">
        <f ca="1">INDIRECT(ADDRESS(MATCH($B74,'【別紙1】標高（入力）'!$B:$B,0),'【別紙1】標高（入力）'!AF$2,4,TRUE,"【別紙1】標高（入力）"))</f>
        <v/>
      </c>
      <c r="BG74" s="122" t="str">
        <f ca="1">INDIRECT(ADDRESS(MATCH($B74,'【別紙1】標高（入力）'!$B:$B,0),'【別紙1】標高（入力）'!AG$2,4,TRUE,"【別紙1】標高（入力）"))</f>
        <v/>
      </c>
      <c r="BH74" s="122" t="str">
        <f ca="1">INDIRECT(ADDRESS(MATCH($B74,'【別紙1】標高（入力）'!$B:$B,0),'【別紙1】標高（入力）'!AH$2,4,TRUE,"【別紙1】標高（入力）"))</f>
        <v/>
      </c>
      <c r="BI74" s="624"/>
      <c r="BJ74" s="598" t="str">
        <f t="shared" ca="1" si="20"/>
        <v>-</v>
      </c>
      <c r="BK74" s="604">
        <f t="shared" ca="1" si="21"/>
        <v>111.10000000000056</v>
      </c>
      <c r="BL74" s="600" t="str">
        <f ca="1">INDIRECT(ADDRESS(MATCH($B74,'【別紙1】標高（入力）'!$B:$B,0),'【別紙1】標高（入力）'!$N$2,4,TRUE,"【別紙1】標高（入力）"))</f>
        <v>R1</v>
      </c>
      <c r="BM74" s="340">
        <f ca="1">INDIRECT(ADDRESS(MATCH($B74,'【別紙1】標高（入力）'!$B:$B,0),'【別紙1】標高（入力）'!$O$2,4,TRUE,"【別紙1】標高（入力）"))</f>
        <v>4.1571999999999996</v>
      </c>
      <c r="BN74" s="392"/>
    </row>
    <row r="75" spans="1:66" s="231" customFormat="1" ht="15.95" customHeight="1">
      <c r="A75" s="214">
        <v>327</v>
      </c>
      <c r="B75" s="215" t="s">
        <v>1390</v>
      </c>
      <c r="C75" s="216" t="s">
        <v>96</v>
      </c>
      <c r="D75" s="217" t="s">
        <v>334</v>
      </c>
      <c r="E75" s="218" t="s">
        <v>299</v>
      </c>
      <c r="F75" s="219" t="s">
        <v>9</v>
      </c>
      <c r="G75" s="220" t="s">
        <v>31</v>
      </c>
      <c r="H75" s="220" t="s">
        <v>64</v>
      </c>
      <c r="I75" s="220" t="s">
        <v>54</v>
      </c>
      <c r="J75" s="410" t="s">
        <v>270</v>
      </c>
      <c r="K75" s="228"/>
      <c r="L75" s="228"/>
      <c r="M75" s="228"/>
      <c r="N75" s="228"/>
      <c r="O75" s="228"/>
      <c r="P75" s="221"/>
      <c r="Q75" s="124">
        <v>20.2</v>
      </c>
      <c r="R75" s="124">
        <v>3.1</v>
      </c>
      <c r="S75" s="124">
        <v>-2</v>
      </c>
      <c r="T75" s="124">
        <v>9</v>
      </c>
      <c r="U75" s="124">
        <v>-3.4</v>
      </c>
      <c r="V75" s="124">
        <v>20.8</v>
      </c>
      <c r="W75" s="233" t="s">
        <v>20</v>
      </c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462"/>
      <c r="BB75" s="228"/>
      <c r="BC75" s="228"/>
      <c r="BD75" s="228"/>
      <c r="BE75" s="228"/>
      <c r="BF75" s="228"/>
      <c r="BG75" s="228"/>
      <c r="BH75" s="625"/>
      <c r="BI75" s="570"/>
      <c r="BJ75" s="599" t="str">
        <f t="shared" ref="BJ75:BJ133" si="22">IF(AND(ISNUMBER(BH75)*1,ISNUMBER(BG75)*1),BH75,"-")</f>
        <v>-</v>
      </c>
      <c r="BK75" s="605">
        <f t="shared" ref="BK75:BK133" si="23">SUM(K75:BH75)</f>
        <v>47.7</v>
      </c>
      <c r="BL75" s="603" t="s">
        <v>1188</v>
      </c>
      <c r="BM75" s="344" t="s">
        <v>1189</v>
      </c>
      <c r="BN75" s="393" t="s">
        <v>20</v>
      </c>
    </row>
    <row r="76" spans="1:66" ht="15.95" customHeight="1">
      <c r="A76" s="119">
        <v>328</v>
      </c>
      <c r="B76" s="113" t="s">
        <v>459</v>
      </c>
      <c r="C76" s="115" t="s">
        <v>96</v>
      </c>
      <c r="D76" s="116" t="s">
        <v>333</v>
      </c>
      <c r="E76" s="117" t="s">
        <v>1419</v>
      </c>
      <c r="F76" s="111" t="s">
        <v>9</v>
      </c>
      <c r="G76" s="112" t="s">
        <v>343</v>
      </c>
      <c r="H76" s="112" t="s">
        <v>64</v>
      </c>
      <c r="I76" s="112" t="s">
        <v>539</v>
      </c>
      <c r="J76" s="108" t="s">
        <v>270</v>
      </c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138" t="s">
        <v>1131</v>
      </c>
      <c r="AR76" s="140" t="s">
        <v>314</v>
      </c>
      <c r="AS76" s="135" t="s">
        <v>1068</v>
      </c>
      <c r="AT76" s="122"/>
      <c r="AU76" s="121">
        <v>5.2</v>
      </c>
      <c r="AV76" s="121">
        <v>4.3</v>
      </c>
      <c r="AW76" s="135" t="s">
        <v>1069</v>
      </c>
      <c r="AX76" s="121">
        <v>7.6</v>
      </c>
      <c r="AY76" s="139" t="s">
        <v>1069</v>
      </c>
      <c r="AZ76" s="121">
        <v>2.2000000000000002</v>
      </c>
      <c r="BA76" s="463" t="s">
        <v>1068</v>
      </c>
      <c r="BB76" s="122"/>
      <c r="BC76" s="122">
        <v>6.4</v>
      </c>
      <c r="BD76" s="139" t="s">
        <v>1069</v>
      </c>
      <c r="BE76" s="121">
        <f ca="1">INDIRECT(ADDRESS(MATCH($B76,'【別紙1】標高（入力）'!$B:$B,0),'【別紙1】標高（入力）'!AE$2,4,TRUE,"【別紙1】標高（入力）"))</f>
        <v>7.9000000000002402</v>
      </c>
      <c r="BF76" s="633" t="s">
        <v>1337</v>
      </c>
      <c r="BG76" s="632" t="str">
        <f ca="1">INDIRECT(ADDRESS(MATCH($B76,'【別紙1】標高（入力）'!$B:$B,0),'【別紙1】標高（入力）'!AG$2,4,TRUE,"【別紙1】標高（入力）"))</f>
        <v/>
      </c>
      <c r="BH76" s="632" t="str">
        <f ca="1">INDIRECT(ADDRESS(MATCH($B76,'【別紙1】標高（入力）'!$B:$B,0),'【別紙1】標高（入力）'!AH$2,4,TRUE,"【別紙1】標高（入力）"))</f>
        <v/>
      </c>
      <c r="BI76" s="569">
        <f ca="1">INDIRECT(ADDRESS(MATCH($B76,'【別紙1】標高（入力）'!$B:$B,0),'【別紙1】標高（入力）'!AI$2,4,TRUE,"【別紙1】標高（入力）"))</f>
        <v>10.799999999999699</v>
      </c>
      <c r="BJ76" s="598" t="str">
        <f t="shared" ref="BJ76:BJ85" ca="1" si="24">IF(AND(ISNUMBER(BI76)*1,ISNUMBER(BH76)*1),BI76,"-")</f>
        <v>-</v>
      </c>
      <c r="BK76" s="604">
        <f t="shared" ref="BK76:BK85" ca="1" si="25">SUM(K76:BI76)</f>
        <v>44.399999999999942</v>
      </c>
      <c r="BL76" s="602" t="str">
        <f ca="1">INDIRECT(ADDRESS(MATCH($B76,'【別紙1】標高（入力）'!$B:$B,0),'【別紙1】標高（入力）'!$N$2,4,TRUE,"【別紙1】標高（入力）"))</f>
        <v>R5</v>
      </c>
      <c r="BM76" s="342">
        <f ca="1">INDIRECT(ADDRESS(MATCH($B76,'【別紙1】標高（入力）'!$B:$B,0),'【別紙1】標高（入力）'!$O$2,4,TRUE,"【別紙1】標高（入力）"))</f>
        <v>7.0330000000000004</v>
      </c>
      <c r="BN76" s="392"/>
    </row>
    <row r="77" spans="1:66" ht="15.95" customHeight="1">
      <c r="A77" s="119">
        <v>329</v>
      </c>
      <c r="B77" s="113" t="s">
        <v>461</v>
      </c>
      <c r="C77" s="115" t="s">
        <v>96</v>
      </c>
      <c r="D77" s="116" t="s">
        <v>718</v>
      </c>
      <c r="E77" s="117" t="s">
        <v>1420</v>
      </c>
      <c r="F77" s="111" t="s">
        <v>287</v>
      </c>
      <c r="G77" s="112" t="s">
        <v>555</v>
      </c>
      <c r="H77" s="112" t="s">
        <v>720</v>
      </c>
      <c r="I77" s="112" t="s">
        <v>54</v>
      </c>
      <c r="J77" s="108" t="s">
        <v>270</v>
      </c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228"/>
      <c r="AH77" s="228"/>
      <c r="AI77" s="412"/>
      <c r="AJ77" s="412"/>
      <c r="AK77" s="412"/>
      <c r="AL77" s="412"/>
      <c r="AM77" s="412"/>
      <c r="AN77" s="412"/>
      <c r="AO77" s="412"/>
      <c r="AP77" s="412"/>
      <c r="AQ77" s="412"/>
      <c r="AR77" s="253" t="s">
        <v>1131</v>
      </c>
      <c r="AS77" s="135" t="s">
        <v>314</v>
      </c>
      <c r="AT77" s="126">
        <v>6.6</v>
      </c>
      <c r="AU77" s="135" t="s">
        <v>637</v>
      </c>
      <c r="AV77" s="122">
        <v>0</v>
      </c>
      <c r="AW77" s="139" t="s">
        <v>526</v>
      </c>
      <c r="AX77" s="131"/>
      <c r="AY77" s="122"/>
      <c r="AZ77" s="121">
        <v>6.5</v>
      </c>
      <c r="BA77" s="458" t="s">
        <v>1070</v>
      </c>
      <c r="BB77" s="122"/>
      <c r="BC77" s="122"/>
      <c r="BD77" s="122" t="str">
        <f ca="1">INDIRECT(ADDRESS(MATCH($B77,'【別紙1】標高（入力）'!$B:$B,0),'【別紙1】標高（入力）'!AD$2,4,TRUE,"【別紙1】標高（入力）"))</f>
        <v/>
      </c>
      <c r="BE77" s="121">
        <f ca="1">INDIRECT(ADDRESS(MATCH($B77,'【別紙1】標高（入力）'!$B:$B,0),'【別紙1】標高（入力）'!AE$2,4,TRUE,"【別紙1】標高（入力）"))</f>
        <v>19.499999999999851</v>
      </c>
      <c r="BF77" s="122" t="str">
        <f ca="1">INDIRECT(ADDRESS(MATCH($B77,'【別紙1】標高（入力）'!$B:$B,0),'【別紙1】標高（入力）'!AF$2,4,TRUE,"【別紙1】標高（入力）"))</f>
        <v/>
      </c>
      <c r="BG77" s="122" t="str">
        <f ca="1">INDIRECT(ADDRESS(MATCH($B77,'【別紙1】標高（入力）'!$B:$B,0),'【別紙1】標高（入力）'!AG$2,4,TRUE,"【別紙1】標高（入力）"))</f>
        <v/>
      </c>
      <c r="BH77" s="122" t="str">
        <f ca="1">INDIRECT(ADDRESS(MATCH($B77,'【別紙1】標高（入力）'!$B:$B,0),'【別紙1】標高（入力）'!AH$2,4,TRUE,"【別紙1】標高（入力）"))</f>
        <v/>
      </c>
      <c r="BI77" s="624"/>
      <c r="BJ77" s="598" t="str">
        <f t="shared" ca="1" si="24"/>
        <v>-</v>
      </c>
      <c r="BK77" s="604">
        <f t="shared" ca="1" si="25"/>
        <v>32.599999999999852</v>
      </c>
      <c r="BL77" s="600" t="str">
        <f ca="1">INDIRECT(ADDRESS(MATCH($B77,'【別紙1】標高（入力）'!$B:$B,0),'【別紙1】標高（入力）'!$N$2,4,TRUE,"【別紙1】標高（入力）"))</f>
        <v>R1</v>
      </c>
      <c r="BM77" s="340">
        <f ca="1">INDIRECT(ADDRESS(MATCH($B77,'【別紙1】標高（入力）'!$B:$B,0),'【別紙1】標高（入力）'!$O$2,4,TRUE,"【別紙1】標高（入力）"))</f>
        <v>4.8864999999999998</v>
      </c>
      <c r="BN77" s="394"/>
    </row>
    <row r="78" spans="1:66" ht="15.95" customHeight="1">
      <c r="A78" s="119">
        <v>401</v>
      </c>
      <c r="B78" s="107" t="s">
        <v>1177</v>
      </c>
      <c r="C78" s="114" t="s">
        <v>132</v>
      </c>
      <c r="D78" s="110" t="s">
        <v>711</v>
      </c>
      <c r="E78" s="109" t="s">
        <v>134</v>
      </c>
      <c r="F78" s="111" t="s">
        <v>9</v>
      </c>
      <c r="G78" s="112" t="s">
        <v>10</v>
      </c>
      <c r="H78" s="112" t="s">
        <v>541</v>
      </c>
      <c r="I78" s="112" t="s">
        <v>284</v>
      </c>
      <c r="J78" s="112" t="s">
        <v>263</v>
      </c>
      <c r="K78" s="224"/>
      <c r="L78" s="228"/>
      <c r="M78" s="221"/>
      <c r="N78" s="124">
        <v>-0.9</v>
      </c>
      <c r="O78" s="124">
        <v>-2</v>
      </c>
      <c r="P78" s="124">
        <v>14.6</v>
      </c>
      <c r="Q78" s="124">
        <v>5.9</v>
      </c>
      <c r="R78" s="124">
        <v>1.1000000000000001</v>
      </c>
      <c r="S78" s="124">
        <v>-1.6</v>
      </c>
      <c r="T78" s="124">
        <v>2.8</v>
      </c>
      <c r="U78" s="124">
        <v>1.7</v>
      </c>
      <c r="V78" s="124">
        <v>2</v>
      </c>
      <c r="W78" s="136" t="s">
        <v>636</v>
      </c>
      <c r="X78" s="127">
        <v>11.6</v>
      </c>
      <c r="Y78" s="136" t="s">
        <v>652</v>
      </c>
      <c r="Z78" s="122"/>
      <c r="AA78" s="122"/>
      <c r="AB78" s="127">
        <v>4</v>
      </c>
      <c r="AC78" s="136" t="s">
        <v>1273</v>
      </c>
      <c r="AD78" s="122"/>
      <c r="AE78" s="127">
        <v>4.3</v>
      </c>
      <c r="AF78" s="136" t="s">
        <v>1273</v>
      </c>
      <c r="AG78" s="122"/>
      <c r="AH78" s="122">
        <v>3.7</v>
      </c>
      <c r="AI78" s="139" t="s">
        <v>707</v>
      </c>
      <c r="AJ78" s="122"/>
      <c r="AK78" s="122"/>
      <c r="AL78" s="122"/>
      <c r="AM78" s="122"/>
      <c r="AN78" s="122"/>
      <c r="AO78" s="122"/>
      <c r="AP78" s="121">
        <v>24.8</v>
      </c>
      <c r="AQ78" s="135" t="s">
        <v>1070</v>
      </c>
      <c r="AR78" s="122"/>
      <c r="AS78" s="122"/>
      <c r="AT78" s="122"/>
      <c r="AU78" s="121">
        <v>-1.8</v>
      </c>
      <c r="AV78" s="121">
        <v>1.4</v>
      </c>
      <c r="AW78" s="139" t="s">
        <v>1070</v>
      </c>
      <c r="AX78" s="122"/>
      <c r="AY78" s="122"/>
      <c r="AZ78" s="122"/>
      <c r="BA78" s="460">
        <v>2.2999999999999998</v>
      </c>
      <c r="BB78" s="139" t="s">
        <v>1336</v>
      </c>
      <c r="BC78" s="122"/>
      <c r="BD78" s="122" t="str">
        <f ca="1">INDIRECT(ADDRESS(MATCH($B78,'【別紙1】標高（入力）'!$B:$B,0),'【別紙1】標高（入力）'!AD$2,4,TRUE,"【別紙1】標高（入力）"))</f>
        <v/>
      </c>
      <c r="BE78" s="122" t="str">
        <f ca="1">INDIRECT(ADDRESS(MATCH($B78,'【別紙1】標高（入力）'!$B:$B,0),'【別紙1】標高（入力）'!AE$2,4,TRUE,"【別紙1】標高（入力）"))</f>
        <v/>
      </c>
      <c r="BF78" s="121">
        <f ca="1">INDIRECT(ADDRESS(MATCH($B78,'【別紙1】標高（入力）'!$B:$B,0),'【別紙1】標高（入力）'!AF$2,4,TRUE,"【別紙1】標高（入力）"))</f>
        <v>4.9999999999990052</v>
      </c>
      <c r="BG78" s="122" t="str">
        <f ca="1">INDIRECT(ADDRESS(MATCH($B78,'【別紙1】標高（入力）'!$B:$B,0),'【別紙1】標高（入力）'!AG$2,4,TRUE,"【別紙1】標高（入力）"))</f>
        <v/>
      </c>
      <c r="BH78" s="122" t="str">
        <f ca="1">INDIRECT(ADDRESS(MATCH($B78,'【別紙1】標高（入力）'!$B:$B,0),'【別紙1】標高（入力）'!AH$2,4,TRUE,"【別紙1】標高（入力）"))</f>
        <v/>
      </c>
      <c r="BI78" s="624"/>
      <c r="BJ78" s="598" t="str">
        <f t="shared" ca="1" si="24"/>
        <v>-</v>
      </c>
      <c r="BK78" s="604">
        <f t="shared" ca="1" si="25"/>
        <v>78.899999999999011</v>
      </c>
      <c r="BL78" s="600" t="str">
        <f ca="1">INDIRECT(ADDRESS(MATCH($B78,'【別紙1】標高（入力）'!$B:$B,0),'【別紙1】標高（入力）'!$N$2,4,TRUE,"【別紙1】標高（入力）"))</f>
        <v>R2</v>
      </c>
      <c r="BM78" s="340">
        <f ca="1">INDIRECT(ADDRESS(MATCH($B78,'【別紙1】標高（入力）'!$B:$B,0),'【別紙1】標高（入力）'!$O$2,4,TRUE,"【別紙1】標高（入力）"))</f>
        <v>14.5783</v>
      </c>
      <c r="BN78" s="392"/>
    </row>
    <row r="79" spans="1:66" ht="15.95" customHeight="1">
      <c r="A79" s="119">
        <v>402</v>
      </c>
      <c r="B79" s="591">
        <v>8560</v>
      </c>
      <c r="C79" s="114" t="s">
        <v>132</v>
      </c>
      <c r="D79" s="110" t="s">
        <v>573</v>
      </c>
      <c r="E79" s="597" t="s">
        <v>1421</v>
      </c>
      <c r="F79" s="111" t="s">
        <v>12</v>
      </c>
      <c r="G79" s="112" t="s">
        <v>73</v>
      </c>
      <c r="H79" s="112" t="s">
        <v>541</v>
      </c>
      <c r="I79" s="112" t="s">
        <v>312</v>
      </c>
      <c r="J79" s="112" t="s">
        <v>263</v>
      </c>
      <c r="K79" s="224"/>
      <c r="L79" s="228"/>
      <c r="M79" s="228"/>
      <c r="N79" s="221"/>
      <c r="O79" s="136" t="s">
        <v>636</v>
      </c>
      <c r="P79" s="127">
        <v>12.3</v>
      </c>
      <c r="Q79" s="124">
        <v>4.7</v>
      </c>
      <c r="R79" s="124">
        <v>2.2000000000000002</v>
      </c>
      <c r="S79" s="124">
        <v>-1.6</v>
      </c>
      <c r="T79" s="124">
        <v>4.0999999999999996</v>
      </c>
      <c r="U79" s="124">
        <v>0.7</v>
      </c>
      <c r="V79" s="124">
        <v>-0.3</v>
      </c>
      <c r="W79" s="136" t="s">
        <v>636</v>
      </c>
      <c r="X79" s="127">
        <v>8.3000000000000007</v>
      </c>
      <c r="Y79" s="136" t="s">
        <v>652</v>
      </c>
      <c r="Z79" s="122"/>
      <c r="AA79" s="122"/>
      <c r="AB79" s="127">
        <v>6.4</v>
      </c>
      <c r="AC79" s="136" t="s">
        <v>1273</v>
      </c>
      <c r="AD79" s="122"/>
      <c r="AE79" s="127">
        <v>6.2</v>
      </c>
      <c r="AF79" s="136" t="s">
        <v>1273</v>
      </c>
      <c r="AG79" s="122"/>
      <c r="AH79" s="122">
        <v>5.3</v>
      </c>
      <c r="AI79" s="139" t="s">
        <v>685</v>
      </c>
      <c r="AJ79" s="122"/>
      <c r="AK79" s="122"/>
      <c r="AL79" s="122"/>
      <c r="AM79" s="122"/>
      <c r="AN79" s="121">
        <v>10.9</v>
      </c>
      <c r="AO79" s="139" t="s">
        <v>637</v>
      </c>
      <c r="AP79" s="121">
        <v>15.2</v>
      </c>
      <c r="AQ79" s="135" t="s">
        <v>1070</v>
      </c>
      <c r="AR79" s="122"/>
      <c r="AS79" s="122"/>
      <c r="AT79" s="122"/>
      <c r="AU79" s="121">
        <v>-1.1000000000000001</v>
      </c>
      <c r="AV79" s="121">
        <v>1.7</v>
      </c>
      <c r="AW79" s="139" t="s">
        <v>1070</v>
      </c>
      <c r="AX79" s="122"/>
      <c r="AY79" s="122"/>
      <c r="AZ79" s="122"/>
      <c r="BA79" s="460">
        <v>2</v>
      </c>
      <c r="BB79" s="139" t="s">
        <v>1336</v>
      </c>
      <c r="BC79" s="122"/>
      <c r="BD79" s="122" t="str">
        <f ca="1">INDIRECT(ADDRESS(MATCH($B79,'【別紙1】標高（入力）'!$B:$B,0),'【別紙1】標高（入力）'!AD$2,4,TRUE,"【別紙1】標高（入力）"))</f>
        <v/>
      </c>
      <c r="BE79" s="122" t="str">
        <f ca="1">INDIRECT(ADDRESS(MATCH($B79,'【別紙1】標高（入力）'!$B:$B,0),'【別紙1】標高（入力）'!AE$2,4,TRUE,"【別紙1】標高（入力）"))</f>
        <v/>
      </c>
      <c r="BF79" s="121">
        <f ca="1">INDIRECT(ADDRESS(MATCH($B79,'【別紙1】標高（入力）'!$B:$B,0),'【別紙1】標高（入力）'!AF$2,4,TRUE,"【別紙1】標高（入力）"))</f>
        <v>10.399999999997078</v>
      </c>
      <c r="BG79" s="122" t="str">
        <f ca="1">INDIRECT(ADDRESS(MATCH($B79,'【別紙1】標高（入力）'!$B:$B,0),'【別紙1】標高（入力）'!AG$2,4,TRUE,"【別紙1】標高（入力）"))</f>
        <v/>
      </c>
      <c r="BH79" s="122" t="str">
        <f ca="1">INDIRECT(ADDRESS(MATCH($B79,'【別紙1】標高（入力）'!$B:$B,0),'【別紙1】標高（入力）'!AH$2,4,TRUE,"【別紙1】標高（入力）"))</f>
        <v/>
      </c>
      <c r="BI79" s="624"/>
      <c r="BJ79" s="598" t="str">
        <f t="shared" ca="1" si="24"/>
        <v>-</v>
      </c>
      <c r="BK79" s="604">
        <f t="shared" ca="1" si="25"/>
        <v>87.399999999997078</v>
      </c>
      <c r="BL79" s="600" t="str">
        <f ca="1">INDIRECT(ADDRESS(MATCH($B79,'【別紙1】標高（入力）'!$B:$B,0),'【別紙1】標高（入力）'!$N$2,4,TRUE,"【別紙1】標高（入力）"))</f>
        <v>R2</v>
      </c>
      <c r="BM79" s="340">
        <f ca="1">INDIRECT(ADDRESS(MATCH($B79,'【別紙1】標高（入力）'!$B:$B,0),'【別紙1】標高（入力）'!$O$2,4,TRUE,"【別紙1】標高（入力）"))</f>
        <v>20.711200000000002</v>
      </c>
      <c r="BN79" s="392"/>
    </row>
    <row r="80" spans="1:66" ht="15.95" customHeight="1">
      <c r="A80" s="119">
        <v>403</v>
      </c>
      <c r="B80" s="107" t="s">
        <v>464</v>
      </c>
      <c r="C80" s="114" t="s">
        <v>132</v>
      </c>
      <c r="D80" s="110" t="s">
        <v>668</v>
      </c>
      <c r="E80" s="109" t="s">
        <v>138</v>
      </c>
      <c r="F80" s="111" t="s">
        <v>9</v>
      </c>
      <c r="G80" s="112" t="s">
        <v>10</v>
      </c>
      <c r="H80" s="112" t="s">
        <v>541</v>
      </c>
      <c r="I80" s="112" t="s">
        <v>312</v>
      </c>
      <c r="J80" s="112" t="s">
        <v>263</v>
      </c>
      <c r="K80" s="224"/>
      <c r="L80" s="228"/>
      <c r="M80" s="221"/>
      <c r="N80" s="136" t="s">
        <v>1273</v>
      </c>
      <c r="O80" s="122"/>
      <c r="P80" s="127">
        <v>5.6</v>
      </c>
      <c r="Q80" s="124">
        <v>6.8</v>
      </c>
      <c r="R80" s="124">
        <v>0.4</v>
      </c>
      <c r="S80" s="136" t="s">
        <v>636</v>
      </c>
      <c r="T80" s="127">
        <v>2.4</v>
      </c>
      <c r="U80" s="136" t="s">
        <v>652</v>
      </c>
      <c r="V80" s="122"/>
      <c r="W80" s="122"/>
      <c r="X80" s="127">
        <v>9.1</v>
      </c>
      <c r="Y80" s="136" t="s">
        <v>652</v>
      </c>
      <c r="Z80" s="122"/>
      <c r="AA80" s="122"/>
      <c r="AB80" s="127">
        <v>10.5</v>
      </c>
      <c r="AC80" s="136" t="s">
        <v>1273</v>
      </c>
      <c r="AD80" s="122"/>
      <c r="AE80" s="127">
        <v>3.4</v>
      </c>
      <c r="AF80" s="136" t="s">
        <v>1273</v>
      </c>
      <c r="AG80" s="122"/>
      <c r="AH80" s="122">
        <v>3.2</v>
      </c>
      <c r="AI80" s="139" t="s">
        <v>707</v>
      </c>
      <c r="AJ80" s="122"/>
      <c r="AK80" s="122"/>
      <c r="AL80" s="122"/>
      <c r="AM80" s="122"/>
      <c r="AN80" s="122"/>
      <c r="AO80" s="122"/>
      <c r="AP80" s="121">
        <v>26.6</v>
      </c>
      <c r="AQ80" s="139" t="s">
        <v>1071</v>
      </c>
      <c r="AR80" s="122"/>
      <c r="AS80" s="122"/>
      <c r="AT80" s="122">
        <v>-2</v>
      </c>
      <c r="AU80" s="125">
        <v>-1</v>
      </c>
      <c r="AV80" s="139" t="s">
        <v>1071</v>
      </c>
      <c r="AW80" s="122"/>
      <c r="AX80" s="122"/>
      <c r="AY80" s="122">
        <v>3.3</v>
      </c>
      <c r="AZ80" s="139" t="s">
        <v>1069</v>
      </c>
      <c r="BA80" s="460">
        <v>-0.6</v>
      </c>
      <c r="BB80" s="139" t="s">
        <v>1068</v>
      </c>
      <c r="BC80" s="122"/>
      <c r="BD80" s="122">
        <f ca="1">INDIRECT(ADDRESS(MATCH($B80,'【別紙1】標高（入力）'!$B:$B,0),'【別紙1】標高（入力）'!AD$2,4,TRUE,"【別紙1】標高（入力）"))</f>
        <v>-0.70000000000192131</v>
      </c>
      <c r="BE80" s="139" t="s">
        <v>1333</v>
      </c>
      <c r="BF80" s="121">
        <f ca="1">INDIRECT(ADDRESS(MATCH($B80,'【別紙1】標高（入力）'!$B:$B,0),'【別紙1】標高（入力）'!AF$2,4,TRUE,"【別紙1】標高（入力）"))</f>
        <v>3.8000000000018019</v>
      </c>
      <c r="BG80" s="122" t="str">
        <f ca="1">INDIRECT(ADDRESS(MATCH($B80,'【別紙1】標高（入力）'!$B:$B,0),'【別紙1】標高（入力）'!AG$2,4,TRUE,"【別紙1】標高（入力）"))</f>
        <v/>
      </c>
      <c r="BH80" s="122" t="str">
        <f ca="1">INDIRECT(ADDRESS(MATCH($B80,'【別紙1】標高（入力）'!$B:$B,0),'【別紙1】標高（入力）'!AH$2,4,TRUE,"【別紙1】標高（入力）"))</f>
        <v/>
      </c>
      <c r="BI80" s="624"/>
      <c r="BJ80" s="598" t="str">
        <f t="shared" ca="1" si="24"/>
        <v>-</v>
      </c>
      <c r="BK80" s="604">
        <f t="shared" ca="1" si="25"/>
        <v>70.799999999999883</v>
      </c>
      <c r="BL80" s="600" t="str">
        <f ca="1">INDIRECT(ADDRESS(MATCH($B80,'【別紙1】標高（入力）'!$B:$B,0),'【別紙1】標高（入力）'!$N$2,4,TRUE,"【別紙1】標高（入力）"))</f>
        <v>R2</v>
      </c>
      <c r="BM80" s="340">
        <f ca="1">INDIRECT(ADDRESS(MATCH($B80,'【別紙1】標高（入力）'!$B:$B,0),'【別紙1】標高（入力）'!$O$2,4,TRUE,"【別紙1】標高（入力）"))</f>
        <v>23.9452</v>
      </c>
      <c r="BN80" s="392"/>
    </row>
    <row r="81" spans="1:66" ht="15.95" customHeight="1">
      <c r="A81" s="119">
        <v>404</v>
      </c>
      <c r="B81" s="107" t="s">
        <v>465</v>
      </c>
      <c r="C81" s="114" t="s">
        <v>132</v>
      </c>
      <c r="D81" s="110" t="s">
        <v>643</v>
      </c>
      <c r="E81" s="109" t="s">
        <v>140</v>
      </c>
      <c r="F81" s="111" t="s">
        <v>9</v>
      </c>
      <c r="G81" s="112" t="s">
        <v>10</v>
      </c>
      <c r="H81" s="112" t="s">
        <v>541</v>
      </c>
      <c r="I81" s="112" t="s">
        <v>141</v>
      </c>
      <c r="J81" s="112" t="s">
        <v>547</v>
      </c>
      <c r="K81" s="224"/>
      <c r="L81" s="228"/>
      <c r="M81" s="221"/>
      <c r="N81" s="124">
        <v>-5</v>
      </c>
      <c r="O81" s="124">
        <v>-5.2</v>
      </c>
      <c r="P81" s="124">
        <v>14.7</v>
      </c>
      <c r="Q81" s="124">
        <v>3.4</v>
      </c>
      <c r="R81" s="124">
        <v>3</v>
      </c>
      <c r="S81" s="124">
        <v>-2.8</v>
      </c>
      <c r="T81" s="124">
        <v>0.8</v>
      </c>
      <c r="U81" s="124">
        <v>2.2000000000000002</v>
      </c>
      <c r="V81" s="124">
        <v>-3.5</v>
      </c>
      <c r="W81" s="136" t="s">
        <v>679</v>
      </c>
      <c r="X81" s="122"/>
      <c r="Y81" s="122"/>
      <c r="Z81" s="122"/>
      <c r="AA81" s="122"/>
      <c r="AB81" s="127">
        <v>17.8</v>
      </c>
      <c r="AC81" s="136" t="s">
        <v>1273</v>
      </c>
      <c r="AD81" s="122"/>
      <c r="AE81" s="127">
        <v>1.1000000000000001</v>
      </c>
      <c r="AF81" s="136" t="s">
        <v>1273</v>
      </c>
      <c r="AG81" s="122"/>
      <c r="AH81" s="122">
        <v>1.8</v>
      </c>
      <c r="AI81" s="139" t="s">
        <v>685</v>
      </c>
      <c r="AJ81" s="122"/>
      <c r="AK81" s="122"/>
      <c r="AL81" s="122"/>
      <c r="AM81" s="122"/>
      <c r="AN81" s="121">
        <v>7.5</v>
      </c>
      <c r="AO81" s="139" t="s">
        <v>637</v>
      </c>
      <c r="AP81" s="121">
        <v>14.4</v>
      </c>
      <c r="AQ81" s="139" t="s">
        <v>1071</v>
      </c>
      <c r="AR81" s="122"/>
      <c r="AS81" s="122"/>
      <c r="AT81" s="122">
        <v>-3.1</v>
      </c>
      <c r="AU81" s="126">
        <v>-0.1</v>
      </c>
      <c r="AV81" s="121">
        <v>2.2000000000000002</v>
      </c>
      <c r="AW81" s="139" t="s">
        <v>1068</v>
      </c>
      <c r="AX81" s="122"/>
      <c r="AY81" s="122">
        <v>1.3</v>
      </c>
      <c r="AZ81" s="139" t="s">
        <v>1069</v>
      </c>
      <c r="BA81" s="460">
        <v>-2.1</v>
      </c>
      <c r="BB81" s="139" t="s">
        <v>1068</v>
      </c>
      <c r="BC81" s="122"/>
      <c r="BD81" s="122">
        <f ca="1">INDIRECT(ADDRESS(MATCH($B81,'【別紙1】標高（入力）'!$B:$B,0),'【別紙1】標高（入力）'!AD$2,4,TRUE,"【別紙1】標高（入力）"))</f>
        <v>-0.70000000000192131</v>
      </c>
      <c r="BE81" s="139" t="s">
        <v>1333</v>
      </c>
      <c r="BF81" s="121">
        <f ca="1">INDIRECT(ADDRESS(MATCH($B81,'【別紙1】標高（入力）'!$B:$B,0),'【別紙1】標高（入力）'!AF$2,4,TRUE,"【別紙1】標高（入力）"))</f>
        <v>2.6000000000010459</v>
      </c>
      <c r="BG81" s="122" t="str">
        <f ca="1">INDIRECT(ADDRESS(MATCH($B81,'【別紙1】標高（入力）'!$B:$B,0),'【別紙1】標高（入力）'!AG$2,4,TRUE,"【別紙1】標高（入力）"))</f>
        <v/>
      </c>
      <c r="BH81" s="122" t="str">
        <f ca="1">INDIRECT(ADDRESS(MATCH($B81,'【別紙1】標高（入力）'!$B:$B,0),'【別紙1】標高（入力）'!AH$2,4,TRUE,"【別紙1】標高（入力）"))</f>
        <v/>
      </c>
      <c r="BI81" s="624"/>
      <c r="BJ81" s="598" t="str">
        <f t="shared" ca="1" si="24"/>
        <v>-</v>
      </c>
      <c r="BK81" s="604">
        <f t="shared" ca="1" si="25"/>
        <v>50.299999999999123</v>
      </c>
      <c r="BL81" s="600" t="str">
        <f ca="1">INDIRECT(ADDRESS(MATCH($B81,'【別紙1】標高（入力）'!$B:$B,0),'【別紙1】標高（入力）'!$N$2,4,TRUE,"【別紙1】標高（入力）"))</f>
        <v>R2</v>
      </c>
      <c r="BM81" s="340">
        <f ca="1">INDIRECT(ADDRESS(MATCH($B81,'【別紙1】標高（入力）'!$B:$B,0),'【別紙1】標高（入力）'!$O$2,4,TRUE,"【別紙1】標高（入力）"))</f>
        <v>23.8627</v>
      </c>
      <c r="BN81" s="392"/>
    </row>
    <row r="82" spans="1:66" ht="15.95" customHeight="1">
      <c r="A82" s="119">
        <v>405</v>
      </c>
      <c r="B82" s="591">
        <v>8559</v>
      </c>
      <c r="C82" s="114" t="s">
        <v>132</v>
      </c>
      <c r="D82" s="110" t="s">
        <v>669</v>
      </c>
      <c r="E82" s="597" t="s">
        <v>1422</v>
      </c>
      <c r="F82" s="111" t="s">
        <v>12</v>
      </c>
      <c r="G82" s="112" t="s">
        <v>10</v>
      </c>
      <c r="H82" s="112" t="s">
        <v>541</v>
      </c>
      <c r="I82" s="112" t="s">
        <v>141</v>
      </c>
      <c r="J82" s="112" t="s">
        <v>547</v>
      </c>
      <c r="K82" s="224"/>
      <c r="L82" s="228"/>
      <c r="M82" s="221"/>
      <c r="N82" s="124">
        <v>-4.9000000000000004</v>
      </c>
      <c r="O82" s="124">
        <v>-6.2</v>
      </c>
      <c r="P82" s="124">
        <v>14.8</v>
      </c>
      <c r="Q82" s="124">
        <v>3.8</v>
      </c>
      <c r="R82" s="124">
        <v>3.7</v>
      </c>
      <c r="S82" s="136" t="s">
        <v>636</v>
      </c>
      <c r="T82" s="127">
        <v>-2.2000000000000002</v>
      </c>
      <c r="U82" s="136" t="s">
        <v>636</v>
      </c>
      <c r="V82" s="127">
        <v>-2.1</v>
      </c>
      <c r="W82" s="136" t="s">
        <v>679</v>
      </c>
      <c r="X82" s="122"/>
      <c r="Y82" s="122"/>
      <c r="Z82" s="122"/>
      <c r="AA82" s="122"/>
      <c r="AB82" s="127">
        <v>19.100000000000001</v>
      </c>
      <c r="AC82" s="136" t="s">
        <v>1273</v>
      </c>
      <c r="AD82" s="122"/>
      <c r="AE82" s="127">
        <v>-1.5</v>
      </c>
      <c r="AF82" s="136" t="s">
        <v>1273</v>
      </c>
      <c r="AG82" s="122"/>
      <c r="AH82" s="122">
        <v>2.1</v>
      </c>
      <c r="AI82" s="139" t="s">
        <v>685</v>
      </c>
      <c r="AJ82" s="122"/>
      <c r="AK82" s="122"/>
      <c r="AL82" s="122"/>
      <c r="AM82" s="122"/>
      <c r="AN82" s="121">
        <v>8.5</v>
      </c>
      <c r="AO82" s="139" t="s">
        <v>637</v>
      </c>
      <c r="AP82" s="121">
        <v>14.6</v>
      </c>
      <c r="AQ82" s="139" t="s">
        <v>1071</v>
      </c>
      <c r="AR82" s="122"/>
      <c r="AS82" s="122"/>
      <c r="AT82" s="122">
        <v>-3.2</v>
      </c>
      <c r="AU82" s="125">
        <v>1</v>
      </c>
      <c r="AV82" s="125">
        <v>2.1</v>
      </c>
      <c r="AW82" s="139" t="s">
        <v>1068</v>
      </c>
      <c r="AX82" s="122"/>
      <c r="AY82" s="122">
        <v>0.9</v>
      </c>
      <c r="AZ82" s="139" t="s">
        <v>1069</v>
      </c>
      <c r="BA82" s="460">
        <v>-1.3</v>
      </c>
      <c r="BB82" s="139" t="s">
        <v>1068</v>
      </c>
      <c r="BC82" s="122"/>
      <c r="BD82" s="122">
        <f ca="1">INDIRECT(ADDRESS(MATCH($B82,'【別紙1】標高（入力）'!$B:$B,0),'【別紙1】標高（入力）'!AD$2,4,TRUE,"【別紙1】標高（入力）"))</f>
        <v>-9.9999999999766942E-2</v>
      </c>
      <c r="BE82" s="139" t="s">
        <v>1333</v>
      </c>
      <c r="BF82" s="121">
        <f ca="1">INDIRECT(ADDRESS(MATCH($B82,'【別紙1】標高（入力）'!$B:$B,0),'【別紙1】標高（入力）'!AF$2,4,TRUE,"【別紙1】標高（入力）"))</f>
        <v>2.9000000000003467</v>
      </c>
      <c r="BG82" s="122" t="str">
        <f ca="1">INDIRECT(ADDRESS(MATCH($B82,'【別紙1】標高（入力）'!$B:$B,0),'【別紙1】標高（入力）'!AG$2,4,TRUE,"【別紙1】標高（入力）"))</f>
        <v/>
      </c>
      <c r="BH82" s="122" t="str">
        <f ca="1">INDIRECT(ADDRESS(MATCH($B82,'【別紙1】標高（入力）'!$B:$B,0),'【別紙1】標高（入力）'!AH$2,4,TRUE,"【別紙1】標高（入力）"))</f>
        <v/>
      </c>
      <c r="BI82" s="624"/>
      <c r="BJ82" s="598" t="str">
        <f t="shared" ca="1" si="24"/>
        <v>-</v>
      </c>
      <c r="BK82" s="604">
        <f t="shared" ca="1" si="25"/>
        <v>52.000000000000583</v>
      </c>
      <c r="BL82" s="600" t="str">
        <f ca="1">INDIRECT(ADDRESS(MATCH($B82,'【別紙1】標高（入力）'!$B:$B,0),'【別紙1】標高（入力）'!$N$2,4,TRUE,"【別紙1】標高（入力）"))</f>
        <v>R2</v>
      </c>
      <c r="BM82" s="340">
        <f ca="1">INDIRECT(ADDRESS(MATCH($B82,'【別紙1】標高（入力）'!$B:$B,0),'【別紙1】標高（入力）'!$O$2,4,TRUE,"【別紙1】標高（入力）"))</f>
        <v>23.873999999999999</v>
      </c>
      <c r="BN82" s="392"/>
    </row>
    <row r="83" spans="1:66" ht="15.95" customHeight="1">
      <c r="A83" s="119">
        <v>406</v>
      </c>
      <c r="B83" s="591">
        <v>8558</v>
      </c>
      <c r="C83" s="114" t="s">
        <v>132</v>
      </c>
      <c r="D83" s="110" t="s">
        <v>644</v>
      </c>
      <c r="E83" s="597" t="s">
        <v>1423</v>
      </c>
      <c r="F83" s="111" t="s">
        <v>12</v>
      </c>
      <c r="G83" s="112" t="s">
        <v>10</v>
      </c>
      <c r="H83" s="112" t="s">
        <v>541</v>
      </c>
      <c r="I83" s="112" t="s">
        <v>141</v>
      </c>
      <c r="J83" s="112" t="s">
        <v>547</v>
      </c>
      <c r="K83" s="224"/>
      <c r="L83" s="228"/>
      <c r="M83" s="221"/>
      <c r="N83" s="124">
        <v>-2.4</v>
      </c>
      <c r="O83" s="124">
        <v>-7.7</v>
      </c>
      <c r="P83" s="124">
        <v>14.2</v>
      </c>
      <c r="Q83" s="124">
        <v>3.8</v>
      </c>
      <c r="R83" s="124">
        <v>6.9</v>
      </c>
      <c r="S83" s="136" t="s">
        <v>636</v>
      </c>
      <c r="T83" s="127">
        <v>-2.5</v>
      </c>
      <c r="U83" s="136" t="s">
        <v>636</v>
      </c>
      <c r="V83" s="127">
        <v>-1.9</v>
      </c>
      <c r="W83" s="136" t="s">
        <v>679</v>
      </c>
      <c r="X83" s="122"/>
      <c r="Y83" s="122"/>
      <c r="Z83" s="122"/>
      <c r="AA83" s="122"/>
      <c r="AB83" s="127">
        <v>23.3</v>
      </c>
      <c r="AC83" s="136" t="s">
        <v>1273</v>
      </c>
      <c r="AD83" s="122"/>
      <c r="AE83" s="127">
        <v>1.2</v>
      </c>
      <c r="AF83" s="136" t="s">
        <v>1273</v>
      </c>
      <c r="AG83" s="122"/>
      <c r="AH83" s="122">
        <v>2.6</v>
      </c>
      <c r="AI83" s="139" t="s">
        <v>707</v>
      </c>
      <c r="AJ83" s="122"/>
      <c r="AK83" s="122"/>
      <c r="AL83" s="122"/>
      <c r="AM83" s="122"/>
      <c r="AN83" s="122"/>
      <c r="AO83" s="122"/>
      <c r="AP83" s="121">
        <v>24.8</v>
      </c>
      <c r="AQ83" s="135" t="s">
        <v>1070</v>
      </c>
      <c r="AR83" s="122"/>
      <c r="AS83" s="122"/>
      <c r="AT83" s="122"/>
      <c r="AU83" s="122">
        <v>-1.9</v>
      </c>
      <c r="AV83" s="126">
        <v>0.7</v>
      </c>
      <c r="AW83" s="139" t="s">
        <v>1068</v>
      </c>
      <c r="AX83" s="122"/>
      <c r="AY83" s="122">
        <v>2.8</v>
      </c>
      <c r="AZ83" s="139" t="s">
        <v>1069</v>
      </c>
      <c r="BA83" s="460">
        <v>-2.2999999999999998</v>
      </c>
      <c r="BB83" s="139" t="s">
        <v>1068</v>
      </c>
      <c r="BC83" s="122"/>
      <c r="BD83" s="122">
        <f ca="1">INDIRECT(ADDRESS(MATCH($B83,'【別紙1】標高（入力）'!$B:$B,0),'【別紙1】標高（入力）'!AD$2,4,TRUE,"【別紙1】標高（入力）"))</f>
        <v>1.0000000000012221</v>
      </c>
      <c r="BE83" s="139" t="s">
        <v>1333</v>
      </c>
      <c r="BF83" s="121">
        <f ca="1">INDIRECT(ADDRESS(MATCH($B83,'【別紙1】標高（入力）'!$B:$B,0),'【別紙1】標高（入力）'!AF$2,4,TRUE,"【別紙1】標高（入力）"))</f>
        <v>1.1999999999972033</v>
      </c>
      <c r="BG83" s="122" t="str">
        <f ca="1">INDIRECT(ADDRESS(MATCH($B83,'【別紙1】標高（入力）'!$B:$B,0),'【別紙1】標高（入力）'!AG$2,4,TRUE,"【別紙1】標高（入力）"))</f>
        <v/>
      </c>
      <c r="BH83" s="122" t="str">
        <f ca="1">INDIRECT(ADDRESS(MATCH($B83,'【別紙1】標高（入力）'!$B:$B,0),'【別紙1】標高（入力）'!AH$2,4,TRUE,"【別紙1】標高（入力）"))</f>
        <v/>
      </c>
      <c r="BI83" s="624"/>
      <c r="BJ83" s="598" t="str">
        <f t="shared" ca="1" si="24"/>
        <v>-</v>
      </c>
      <c r="BK83" s="604">
        <f t="shared" ca="1" si="25"/>
        <v>63.799999999998441</v>
      </c>
      <c r="BL83" s="600" t="str">
        <f ca="1">INDIRECT(ADDRESS(MATCH($B83,'【別紙1】標高（入力）'!$B:$B,0),'【別紙1】標高（入力）'!$N$2,4,TRUE,"【別紙1】標高（入力）"))</f>
        <v>R2</v>
      </c>
      <c r="BM83" s="340">
        <f ca="1">INDIRECT(ADDRESS(MATCH($B83,'【別紙1】標高（入力）'!$B:$B,0),'【別紙1】標高（入力）'!$O$2,4,TRUE,"【別紙1】標高（入力）"))</f>
        <v>22.080200000000001</v>
      </c>
      <c r="BN83" s="392"/>
    </row>
    <row r="84" spans="1:66" ht="15.95" customHeight="1">
      <c r="A84" s="119">
        <v>407</v>
      </c>
      <c r="B84" s="107" t="s">
        <v>468</v>
      </c>
      <c r="C84" s="114" t="s">
        <v>132</v>
      </c>
      <c r="D84" s="110" t="s">
        <v>716</v>
      </c>
      <c r="E84" s="109" t="s">
        <v>146</v>
      </c>
      <c r="F84" s="111" t="s">
        <v>9</v>
      </c>
      <c r="G84" s="112" t="s">
        <v>10</v>
      </c>
      <c r="H84" s="112" t="s">
        <v>541</v>
      </c>
      <c r="I84" s="112" t="s">
        <v>141</v>
      </c>
      <c r="J84" s="112" t="s">
        <v>547</v>
      </c>
      <c r="K84" s="224"/>
      <c r="L84" s="228"/>
      <c r="M84" s="221"/>
      <c r="N84" s="124">
        <v>-3.2</v>
      </c>
      <c r="O84" s="124">
        <v>-6.4</v>
      </c>
      <c r="P84" s="124">
        <v>15.6</v>
      </c>
      <c r="Q84" s="124">
        <v>2</v>
      </c>
      <c r="R84" s="124">
        <v>5.3</v>
      </c>
      <c r="S84" s="136" t="s">
        <v>636</v>
      </c>
      <c r="T84" s="127">
        <v>-1.9</v>
      </c>
      <c r="U84" s="136" t="s">
        <v>636</v>
      </c>
      <c r="V84" s="127">
        <v>0</v>
      </c>
      <c r="W84" s="136" t="s">
        <v>679</v>
      </c>
      <c r="X84" s="122"/>
      <c r="Y84" s="122"/>
      <c r="Z84" s="122"/>
      <c r="AA84" s="122"/>
      <c r="AB84" s="127">
        <v>19.100000000000001</v>
      </c>
      <c r="AC84" s="136" t="s">
        <v>1273</v>
      </c>
      <c r="AD84" s="122"/>
      <c r="AE84" s="127">
        <v>0.2</v>
      </c>
      <c r="AF84" s="136" t="s">
        <v>1273</v>
      </c>
      <c r="AG84" s="122"/>
      <c r="AH84" s="122">
        <v>3.4</v>
      </c>
      <c r="AI84" s="139" t="s">
        <v>685</v>
      </c>
      <c r="AJ84" s="122"/>
      <c r="AK84" s="122"/>
      <c r="AL84" s="122"/>
      <c r="AM84" s="122"/>
      <c r="AN84" s="121">
        <v>9.3000000000000007</v>
      </c>
      <c r="AO84" s="139" t="s">
        <v>637</v>
      </c>
      <c r="AP84" s="121">
        <v>15.1</v>
      </c>
      <c r="AQ84" s="139" t="s">
        <v>1071</v>
      </c>
      <c r="AR84" s="122"/>
      <c r="AS84" s="122"/>
      <c r="AT84" s="122">
        <v>-3.8</v>
      </c>
      <c r="AU84" s="125">
        <v>0.2</v>
      </c>
      <c r="AV84" s="125">
        <v>2.5</v>
      </c>
      <c r="AW84" s="139" t="s">
        <v>1068</v>
      </c>
      <c r="AX84" s="122"/>
      <c r="AY84" s="122">
        <v>1.1000000000000001</v>
      </c>
      <c r="AZ84" s="139" t="s">
        <v>1069</v>
      </c>
      <c r="BA84" s="460">
        <v>-1.9</v>
      </c>
      <c r="BB84" s="139" t="s">
        <v>1068</v>
      </c>
      <c r="BC84" s="122"/>
      <c r="BD84" s="122">
        <f ca="1">INDIRECT(ADDRESS(MATCH($B84,'【別紙1】標高（入力）'!$B:$B,0),'【別紙1】標高（入力）'!AD$2,4,TRUE,"【別紙1】標高（入力）"))</f>
        <v>0.59999999999860165</v>
      </c>
      <c r="BE84" s="139" t="s">
        <v>1333</v>
      </c>
      <c r="BF84" s="121">
        <f ca="1">INDIRECT(ADDRESS(MATCH($B84,'【別紙1】標高（入力）'!$B:$B,0),'【別紙1】標高（入力）'!AF$2,4,TRUE,"【別紙1】標高（入力）"))</f>
        <v>1.200000000000756</v>
      </c>
      <c r="BG84" s="122" t="str">
        <f ca="1">INDIRECT(ADDRESS(MATCH($B84,'【別紙1】標高（入力）'!$B:$B,0),'【別紙1】標高（入力）'!AG$2,4,TRUE,"【別紙1】標高（入力）"))</f>
        <v/>
      </c>
      <c r="BH84" s="122" t="str">
        <f ca="1">INDIRECT(ADDRESS(MATCH($B84,'【別紙1】標高（入力）'!$B:$B,0),'【別紙1】標高（入力）'!AH$2,4,TRUE,"【別紙1】標高（入力）"))</f>
        <v/>
      </c>
      <c r="BI84" s="624"/>
      <c r="BJ84" s="598" t="str">
        <f t="shared" ca="1" si="24"/>
        <v>-</v>
      </c>
      <c r="BK84" s="604">
        <f t="shared" ca="1" si="25"/>
        <v>58.399999999999373</v>
      </c>
      <c r="BL84" s="600" t="str">
        <f ca="1">INDIRECT(ADDRESS(MATCH($B84,'【別紙1】標高（入力）'!$B:$B,0),'【別紙1】標高（入力）'!$N$2,4,TRUE,"【別紙1】標高（入力）"))</f>
        <v>R2</v>
      </c>
      <c r="BM84" s="340">
        <f ca="1">INDIRECT(ADDRESS(MATCH($B84,'【別紙1】標高（入力）'!$B:$B,0),'【別紙1】標高（入力）'!$O$2,4,TRUE,"【別紙1】標高（入力）"))</f>
        <v>18.832699999999999</v>
      </c>
      <c r="BN84" s="392"/>
    </row>
    <row r="85" spans="1:66" ht="15.95" customHeight="1">
      <c r="A85" s="119">
        <v>408</v>
      </c>
      <c r="B85" s="107" t="s">
        <v>469</v>
      </c>
      <c r="C85" s="114" t="s">
        <v>132</v>
      </c>
      <c r="D85" s="110" t="s">
        <v>645</v>
      </c>
      <c r="E85" s="109" t="s">
        <v>147</v>
      </c>
      <c r="F85" s="111" t="s">
        <v>9</v>
      </c>
      <c r="G85" s="112" t="s">
        <v>10</v>
      </c>
      <c r="H85" s="112" t="s">
        <v>541</v>
      </c>
      <c r="I85" s="112" t="s">
        <v>141</v>
      </c>
      <c r="J85" s="112" t="s">
        <v>547</v>
      </c>
      <c r="K85" s="224"/>
      <c r="L85" s="228"/>
      <c r="M85" s="221"/>
      <c r="N85" s="136" t="s">
        <v>636</v>
      </c>
      <c r="O85" s="127">
        <v>-8.6999999999999993</v>
      </c>
      <c r="P85" s="124">
        <v>14.3</v>
      </c>
      <c r="Q85" s="124">
        <v>4.4000000000000004</v>
      </c>
      <c r="R85" s="124">
        <v>7.1</v>
      </c>
      <c r="S85" s="136" t="s">
        <v>636</v>
      </c>
      <c r="T85" s="127">
        <v>-2.2999999999999998</v>
      </c>
      <c r="U85" s="136" t="s">
        <v>636</v>
      </c>
      <c r="V85" s="127">
        <v>-2.5</v>
      </c>
      <c r="W85" s="136" t="s">
        <v>679</v>
      </c>
      <c r="X85" s="122"/>
      <c r="Y85" s="122"/>
      <c r="Z85" s="122"/>
      <c r="AA85" s="122"/>
      <c r="AB85" s="127">
        <v>21</v>
      </c>
      <c r="AC85" s="136" t="s">
        <v>1273</v>
      </c>
      <c r="AD85" s="122"/>
      <c r="AE85" s="127">
        <v>0.6</v>
      </c>
      <c r="AF85" s="136" t="s">
        <v>1273</v>
      </c>
      <c r="AG85" s="122"/>
      <c r="AH85" s="122">
        <v>2</v>
      </c>
      <c r="AI85" s="139" t="s">
        <v>707</v>
      </c>
      <c r="AJ85" s="122"/>
      <c r="AK85" s="122"/>
      <c r="AL85" s="122"/>
      <c r="AM85" s="122"/>
      <c r="AN85" s="122"/>
      <c r="AO85" s="122"/>
      <c r="AP85" s="121">
        <v>24.2</v>
      </c>
      <c r="AQ85" s="135" t="s">
        <v>1070</v>
      </c>
      <c r="AR85" s="122"/>
      <c r="AS85" s="122"/>
      <c r="AT85" s="122"/>
      <c r="AU85" s="122">
        <v>-3</v>
      </c>
      <c r="AV85" s="125">
        <v>1.2</v>
      </c>
      <c r="AW85" s="139" t="s">
        <v>1068</v>
      </c>
      <c r="AX85" s="122"/>
      <c r="AY85" s="122">
        <v>2.2000000000000002</v>
      </c>
      <c r="AZ85" s="139" t="s">
        <v>1069</v>
      </c>
      <c r="BA85" s="460">
        <v>-2.2999999999999998</v>
      </c>
      <c r="BB85" s="139" t="s">
        <v>1068</v>
      </c>
      <c r="BC85" s="122"/>
      <c r="BD85" s="122">
        <f ca="1">INDIRECT(ADDRESS(MATCH($B85,'【別紙1】標高（入力）'!$B:$B,0),'【別紙1】標高（入力）'!AD$2,4,TRUE,"【別紙1】標高（入力）"))</f>
        <v>0.49999999999883471</v>
      </c>
      <c r="BE85" s="138"/>
      <c r="BF85" s="140" t="s">
        <v>1339</v>
      </c>
      <c r="BG85" s="122" t="str">
        <f ca="1">INDIRECT(ADDRESS(MATCH($B85,'【別紙1】標高（入力）'!$B:$B,0),'【別紙1】標高（入力）'!AG$2,4,TRUE,"【別紙1】標高（入力）"))</f>
        <v/>
      </c>
      <c r="BH85" s="122" t="str">
        <f ca="1">INDIRECT(ADDRESS(MATCH($B85,'【別紙1】標高（入力）'!$B:$B,0),'【別紙1】標高（入力）'!AH$2,4,TRUE,"【別紙1】標高（入力）"))</f>
        <v/>
      </c>
      <c r="BI85" s="624"/>
      <c r="BJ85" s="598" t="str">
        <f t="shared" ca="1" si="24"/>
        <v>-</v>
      </c>
      <c r="BK85" s="604">
        <f t="shared" ca="1" si="25"/>
        <v>58.699999999998838</v>
      </c>
      <c r="BL85" s="600" t="str">
        <f ca="1">INDIRECT(ADDRESS(MATCH($B85,'【別紙1】標高（入力）'!$B:$B,0),'【別紙1】標高（入力）'!$N$2,4,TRUE,"【別紙1】標高（入力）"))</f>
        <v>R2</v>
      </c>
      <c r="BM85" s="340">
        <f ca="1">INDIRECT(ADDRESS(MATCH($B85,'【別紙1】標高（入力）'!$B:$B,0),'【別紙1】標高（入力）'!$O$2,4,TRUE,"【別紙1】標高（入力）"))</f>
        <v>18.146799999999999</v>
      </c>
      <c r="BN85" s="392" t="s">
        <v>1350</v>
      </c>
    </row>
    <row r="86" spans="1:66" s="231" customFormat="1" ht="15.75" customHeight="1">
      <c r="A86" s="214">
        <v>410</v>
      </c>
      <c r="B86" s="215" t="s">
        <v>470</v>
      </c>
      <c r="C86" s="216" t="s">
        <v>132</v>
      </c>
      <c r="D86" s="217" t="s">
        <v>335</v>
      </c>
      <c r="E86" s="218" t="s">
        <v>299</v>
      </c>
      <c r="F86" s="219" t="s">
        <v>9</v>
      </c>
      <c r="G86" s="220" t="s">
        <v>31</v>
      </c>
      <c r="H86" s="220" t="s">
        <v>64</v>
      </c>
      <c r="I86" s="220" t="s">
        <v>54</v>
      </c>
      <c r="J86" s="220" t="s">
        <v>270</v>
      </c>
      <c r="K86" s="224"/>
      <c r="L86" s="228"/>
      <c r="M86" s="228"/>
      <c r="N86" s="228"/>
      <c r="O86" s="228"/>
      <c r="P86" s="221"/>
      <c r="Q86" s="124">
        <v>13.3</v>
      </c>
      <c r="R86" s="124">
        <v>7.6</v>
      </c>
      <c r="S86" s="123">
        <v>-5.5</v>
      </c>
      <c r="T86" s="415" t="s">
        <v>1270</v>
      </c>
      <c r="U86" s="413" t="s">
        <v>1270</v>
      </c>
      <c r="V86" s="411" t="s">
        <v>1270</v>
      </c>
      <c r="W86" s="232" t="s">
        <v>20</v>
      </c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32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462"/>
      <c r="BB86" s="228"/>
      <c r="BC86" s="228"/>
      <c r="BD86" s="228"/>
      <c r="BE86" s="228"/>
      <c r="BF86" s="228"/>
      <c r="BG86" s="228"/>
      <c r="BH86" s="625"/>
      <c r="BI86" s="570"/>
      <c r="BJ86" s="599" t="str">
        <f t="shared" si="22"/>
        <v>-</v>
      </c>
      <c r="BK86" s="605">
        <f t="shared" si="23"/>
        <v>15.399999999999999</v>
      </c>
      <c r="BL86" s="603" t="s">
        <v>1188</v>
      </c>
      <c r="BM86" s="344" t="s">
        <v>1189</v>
      </c>
      <c r="BN86" s="393" t="s">
        <v>725</v>
      </c>
    </row>
    <row r="87" spans="1:66" ht="15.95" customHeight="1">
      <c r="A87" s="119">
        <v>411</v>
      </c>
      <c r="B87" s="107" t="s">
        <v>472</v>
      </c>
      <c r="C87" s="114" t="s">
        <v>132</v>
      </c>
      <c r="D87" s="110" t="s">
        <v>336</v>
      </c>
      <c r="E87" s="597" t="s">
        <v>1424</v>
      </c>
      <c r="F87" s="111" t="s">
        <v>9</v>
      </c>
      <c r="G87" s="112" t="s">
        <v>10</v>
      </c>
      <c r="H87" s="112" t="s">
        <v>64</v>
      </c>
      <c r="I87" s="112" t="s">
        <v>54</v>
      </c>
      <c r="J87" s="112" t="s">
        <v>270</v>
      </c>
      <c r="K87" s="224"/>
      <c r="L87" s="228"/>
      <c r="M87" s="221"/>
      <c r="N87" s="136" t="s">
        <v>636</v>
      </c>
      <c r="O87" s="127">
        <v>218.7</v>
      </c>
      <c r="P87" s="124">
        <v>101</v>
      </c>
      <c r="Q87" s="124">
        <v>38.4</v>
      </c>
      <c r="R87" s="124">
        <v>11.1</v>
      </c>
      <c r="S87" s="124">
        <v>10.8</v>
      </c>
      <c r="T87" s="124">
        <v>47.7</v>
      </c>
      <c r="U87" s="123">
        <v>22.1</v>
      </c>
      <c r="V87" s="411" t="s">
        <v>47</v>
      </c>
      <c r="W87" s="139" t="s">
        <v>95</v>
      </c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1">
        <v>223</v>
      </c>
      <c r="AI87" s="139" t="s">
        <v>685</v>
      </c>
      <c r="AJ87" s="122"/>
      <c r="AK87" s="122"/>
      <c r="AL87" s="122"/>
      <c r="AM87" s="122"/>
      <c r="AN87" s="121">
        <v>41.9</v>
      </c>
      <c r="AO87" s="139" t="s">
        <v>1072</v>
      </c>
      <c r="AP87" s="122"/>
      <c r="AQ87" s="122"/>
      <c r="AR87" s="122"/>
      <c r="AS87" s="122"/>
      <c r="AT87" s="122">
        <v>118.9</v>
      </c>
      <c r="AU87" s="126">
        <v>-2</v>
      </c>
      <c r="AV87" s="139" t="s">
        <v>1071</v>
      </c>
      <c r="AW87" s="122"/>
      <c r="AX87" s="122"/>
      <c r="AY87" s="122">
        <v>22.6</v>
      </c>
      <c r="AZ87" s="139" t="s">
        <v>1070</v>
      </c>
      <c r="BA87" s="460"/>
      <c r="BB87" s="122"/>
      <c r="BC87" s="122"/>
      <c r="BD87" s="122">
        <f ca="1">INDIRECT(ADDRESS(MATCH($B87,'【別紙1】標高（入力）'!$B:$B,0),'【別紙1】標高（入力）'!AD$2,4,TRUE,"【別紙1】標高（入力）"))</f>
        <v>17.900000000000027</v>
      </c>
      <c r="BE87" s="139" t="s">
        <v>1383</v>
      </c>
      <c r="BF87" s="122" t="str">
        <f ca="1">INDIRECT(ADDRESS(MATCH($B87,'【別紙1】標高（入力）'!$B:$B,0),'【別紙1】標高（入力）'!AF$2,4,TRUE,"【別紙1】標高（入力）"))</f>
        <v/>
      </c>
      <c r="BG87" s="122" t="str">
        <f ca="1">INDIRECT(ADDRESS(MATCH($B87,'【別紙1】標高（入力）'!$B:$B,0),'【別紙1】標高（入力）'!AG$2,4,TRUE,"【別紙1】標高（入力）"))</f>
        <v/>
      </c>
      <c r="BH87" s="121">
        <f ca="1">INDIRECT(ADDRESS(MATCH($B87,'【別紙1】標高（入力）'!$B:$B,0),'【別紙1】標高（入力）'!AH$2,4,TRUE,"【別紙1】標高（入力）"))</f>
        <v>32.300000000000217</v>
      </c>
      <c r="BI87" s="624"/>
      <c r="BJ87" s="598" t="str">
        <f t="shared" ref="BJ87:BJ92" ca="1" si="26">IF(AND(ISNUMBER(BI87)*1,ISNUMBER(BH87)*1),BI87,"-")</f>
        <v>-</v>
      </c>
      <c r="BK87" s="604">
        <f t="shared" ref="BK87:BK92" ca="1" si="27">SUM(K87:BI87)</f>
        <v>904.40000000000009</v>
      </c>
      <c r="BL87" s="600" t="str">
        <f ca="1">INDIRECT(ADDRESS(MATCH($B87,'【別紙1】標高（入力）'!$B:$B,0),'【別紙1】標高（入力）'!$N$2,4,TRUE,"【別紙1】標高（入力）"))</f>
        <v>R4</v>
      </c>
      <c r="BM87" s="340">
        <f ca="1">INDIRECT(ADDRESS(MATCH($B87,'【別紙1】標高（入力）'!$B:$B,0),'【別紙1】標高（入力）'!$O$2,4,TRUE,"【別紙1】標高（入力）"))</f>
        <v>3.2930999999999999</v>
      </c>
      <c r="BN87" s="392"/>
    </row>
    <row r="88" spans="1:66" ht="15.95" customHeight="1">
      <c r="A88" s="119">
        <v>412</v>
      </c>
      <c r="B88" s="107" t="s">
        <v>474</v>
      </c>
      <c r="C88" s="114" t="s">
        <v>132</v>
      </c>
      <c r="D88" s="110" t="s">
        <v>670</v>
      </c>
      <c r="E88" s="109" t="s">
        <v>1425</v>
      </c>
      <c r="F88" s="111" t="s">
        <v>9</v>
      </c>
      <c r="G88" s="112" t="s">
        <v>255</v>
      </c>
      <c r="H88" s="112" t="s">
        <v>720</v>
      </c>
      <c r="I88" s="112" t="s">
        <v>54</v>
      </c>
      <c r="J88" s="112" t="s">
        <v>270</v>
      </c>
      <c r="K88" s="224"/>
      <c r="L88" s="228"/>
      <c r="M88" s="221"/>
      <c r="N88" s="136" t="s">
        <v>636</v>
      </c>
      <c r="O88" s="127">
        <v>53.9</v>
      </c>
      <c r="P88" s="124">
        <v>41.4</v>
      </c>
      <c r="Q88" s="124">
        <v>22.4</v>
      </c>
      <c r="R88" s="124">
        <v>10.199999999999999</v>
      </c>
      <c r="S88" s="123">
        <v>7.1</v>
      </c>
      <c r="T88" s="415" t="s">
        <v>1270</v>
      </c>
      <c r="U88" s="413" t="s">
        <v>1270</v>
      </c>
      <c r="V88" s="127">
        <v>54.5</v>
      </c>
      <c r="W88" s="136" t="s">
        <v>679</v>
      </c>
      <c r="X88" s="122"/>
      <c r="Y88" s="122"/>
      <c r="Z88" s="122"/>
      <c r="AA88" s="122"/>
      <c r="AB88" s="127">
        <v>135.1</v>
      </c>
      <c r="AC88" s="136" t="s">
        <v>1273</v>
      </c>
      <c r="AD88" s="122"/>
      <c r="AE88" s="127">
        <v>50.2</v>
      </c>
      <c r="AF88" s="224"/>
      <c r="AG88" s="228"/>
      <c r="AH88" s="229"/>
      <c r="AI88" s="138" t="s">
        <v>260</v>
      </c>
      <c r="AJ88" s="229"/>
      <c r="AK88" s="138" t="s">
        <v>530</v>
      </c>
      <c r="AL88" s="135" t="s">
        <v>525</v>
      </c>
      <c r="AM88" s="122"/>
      <c r="AN88" s="121">
        <v>75.400000000000006</v>
      </c>
      <c r="AO88" s="139" t="s">
        <v>1072</v>
      </c>
      <c r="AP88" s="122"/>
      <c r="AQ88" s="122"/>
      <c r="AR88" s="122"/>
      <c r="AS88" s="122"/>
      <c r="AT88" s="122">
        <v>116.5</v>
      </c>
      <c r="AU88" s="139" t="s">
        <v>1070</v>
      </c>
      <c r="AV88" s="122"/>
      <c r="AW88" s="122"/>
      <c r="AX88" s="122"/>
      <c r="AY88" s="122">
        <v>26.5</v>
      </c>
      <c r="AZ88" s="139" t="s">
        <v>1070</v>
      </c>
      <c r="BA88" s="460"/>
      <c r="BB88" s="122"/>
      <c r="BC88" s="122"/>
      <c r="BD88" s="122">
        <f ca="1">INDIRECT(ADDRESS(MATCH($B88,'【別紙1】標高（入力）'!$B:$B,0),'【別紙1】標高（入力）'!AD$2,4,TRUE,"【別紙1】標高（入力）"))</f>
        <v>21.600000000000286</v>
      </c>
      <c r="BE88" s="125" t="str">
        <f ca="1">INDIRECT(ADDRESS(MATCH($B88,'【別紙1】標高（入力）'!$B:$B,0),'【別紙1】標高（入力）'!AE$2,4,TRUE,"【別紙1】標高（入力）"))</f>
        <v/>
      </c>
      <c r="BF88" s="122" t="str">
        <f ca="1">INDIRECT(ADDRESS(MATCH($B88,'【別紙1】標高（入力）'!$B:$B,0),'【別紙1】標高（入力）'!AF$2,4,TRUE,"【別紙1】標高（入力）"))</f>
        <v/>
      </c>
      <c r="BG88" s="122" t="str">
        <f ca="1">INDIRECT(ADDRESS(MATCH($B88,'【別紙1】標高（入力）'!$B:$B,0),'【別紙1】標高（入力）'!AG$2,4,TRUE,"【別紙1】標高（入力）"))</f>
        <v/>
      </c>
      <c r="BH88" s="122" t="str">
        <f ca="1">INDIRECT(ADDRESS(MATCH($B88,'【別紙1】標高（入力）'!$B:$B,0),'【別紙1】標高（入力）'!AH$2,4,TRUE,"【別紙1】標高（入力）"))</f>
        <v/>
      </c>
      <c r="BI88" s="624"/>
      <c r="BJ88" s="598" t="str">
        <f t="shared" ca="1" si="26"/>
        <v>-</v>
      </c>
      <c r="BK88" s="604">
        <f t="shared" ca="1" si="27"/>
        <v>614.8000000000003</v>
      </c>
      <c r="BL88" s="600" t="str">
        <f ca="1">INDIRECT(ADDRESS(MATCH($B88,'【別紙1】標高（入力）'!$B:$B,0),'【別紙1】標高（入力）'!$N$2,4,TRUE,"【別紙1】標高（入力）"))</f>
        <v>H30</v>
      </c>
      <c r="BM88" s="340">
        <f ca="1">INDIRECT(ADDRESS(MATCH($B88,'【別紙1】標高（入力）'!$B:$B,0),'【別紙1】標高（入力）'!$O$2,4,TRUE,"【別紙1】標高（入力）"))</f>
        <v>5.2348999999999997</v>
      </c>
      <c r="BN88" s="392" t="s">
        <v>1132</v>
      </c>
    </row>
    <row r="89" spans="1:66" ht="15.95" customHeight="1">
      <c r="A89" s="119">
        <v>413</v>
      </c>
      <c r="B89" s="107" t="s">
        <v>476</v>
      </c>
      <c r="C89" s="114" t="s">
        <v>132</v>
      </c>
      <c r="D89" s="110" t="s">
        <v>337</v>
      </c>
      <c r="E89" s="109" t="s">
        <v>299</v>
      </c>
      <c r="F89" s="111" t="s">
        <v>9</v>
      </c>
      <c r="G89" s="112" t="s">
        <v>31</v>
      </c>
      <c r="H89" s="112" t="s">
        <v>64</v>
      </c>
      <c r="I89" s="112" t="s">
        <v>54</v>
      </c>
      <c r="J89" s="112" t="s">
        <v>270</v>
      </c>
      <c r="K89" s="224"/>
      <c r="L89" s="228"/>
      <c r="M89" s="228"/>
      <c r="N89" s="228"/>
      <c r="O89" s="228"/>
      <c r="P89" s="221"/>
      <c r="Q89" s="124">
        <v>85.6</v>
      </c>
      <c r="R89" s="123">
        <v>20.8</v>
      </c>
      <c r="S89" s="411" t="s">
        <v>47</v>
      </c>
      <c r="T89" s="127">
        <v>36.9</v>
      </c>
      <c r="U89" s="124">
        <v>19.899999999999999</v>
      </c>
      <c r="V89" s="124">
        <v>21.6</v>
      </c>
      <c r="W89" s="136" t="s">
        <v>95</v>
      </c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1">
        <v>369.5</v>
      </c>
      <c r="AI89" s="139" t="s">
        <v>525</v>
      </c>
      <c r="AJ89" s="122"/>
      <c r="AK89" s="127">
        <v>58.2</v>
      </c>
      <c r="AL89" s="136" t="s">
        <v>525</v>
      </c>
      <c r="AM89" s="122"/>
      <c r="AN89" s="121">
        <v>43.1</v>
      </c>
      <c r="AO89" s="139" t="s">
        <v>1072</v>
      </c>
      <c r="AP89" s="122"/>
      <c r="AQ89" s="122"/>
      <c r="AR89" s="122"/>
      <c r="AS89" s="122"/>
      <c r="AT89" s="122">
        <v>81.900000000000006</v>
      </c>
      <c r="AU89" s="139" t="s">
        <v>1070</v>
      </c>
      <c r="AV89" s="122"/>
      <c r="AW89" s="122"/>
      <c r="AX89" s="122"/>
      <c r="AY89" s="122">
        <v>31.5</v>
      </c>
      <c r="AZ89" s="139" t="s">
        <v>1070</v>
      </c>
      <c r="BA89" s="460"/>
      <c r="BB89" s="122"/>
      <c r="BC89" s="122"/>
      <c r="BD89" s="122">
        <f ca="1">INDIRECT(ADDRESS(MATCH($B89,'【別紙1】標高（入力）'!$B:$B,0),'【別紙1】標高（入力）'!AD$2,4,TRUE,"【別紙1】標高（入力）"))</f>
        <v>29.099999999999682</v>
      </c>
      <c r="BE89" s="125" t="str">
        <f ca="1">INDIRECT(ADDRESS(MATCH($B89,'【別紙1】標高（入力）'!$B:$B,0),'【別紙1】標高（入力）'!AE$2,4,TRUE,"【別紙1】標高（入力）"))</f>
        <v/>
      </c>
      <c r="BF89" s="122" t="str">
        <f ca="1">INDIRECT(ADDRESS(MATCH($B89,'【別紙1】標高（入力）'!$B:$B,0),'【別紙1】標高（入力）'!AF$2,4,TRUE,"【別紙1】標高（入力）"))</f>
        <v/>
      </c>
      <c r="BG89" s="122" t="str">
        <f ca="1">INDIRECT(ADDRESS(MATCH($B89,'【別紙1】標高（入力）'!$B:$B,0),'【別紙1】標高（入力）'!AG$2,4,TRUE,"【別紙1】標高（入力）"))</f>
        <v/>
      </c>
      <c r="BH89" s="122" t="str">
        <f ca="1">INDIRECT(ADDRESS(MATCH($B89,'【別紙1】標高（入力）'!$B:$B,0),'【別紙1】標高（入力）'!AH$2,4,TRUE,"【別紙1】標高（入力）"))</f>
        <v/>
      </c>
      <c r="BI89" s="624"/>
      <c r="BJ89" s="598" t="str">
        <f t="shared" ca="1" si="26"/>
        <v>-</v>
      </c>
      <c r="BK89" s="604">
        <f t="shared" ca="1" si="27"/>
        <v>798.09999999999968</v>
      </c>
      <c r="BL89" s="600" t="str">
        <f ca="1">INDIRECT(ADDRESS(MATCH($B89,'【別紙1】標高（入力）'!$B:$B,0),'【別紙1】標高（入力）'!$N$2,4,TRUE,"【別紙1】標高（入力）"))</f>
        <v>H30</v>
      </c>
      <c r="BM89" s="340">
        <f ca="1">INDIRECT(ADDRESS(MATCH($B89,'【別紙1】標高（入力）'!$B:$B,0),'【別紙1】標高（入力）'!$O$2,4,TRUE,"【別紙1】標高（入力）"))</f>
        <v>4.5007000000000001</v>
      </c>
      <c r="BN89" s="392"/>
    </row>
    <row r="90" spans="1:66" ht="15.95" customHeight="1">
      <c r="A90" s="119">
        <v>414</v>
      </c>
      <c r="B90" s="107" t="s">
        <v>478</v>
      </c>
      <c r="C90" s="114" t="s">
        <v>132</v>
      </c>
      <c r="D90" s="110" t="s">
        <v>338</v>
      </c>
      <c r="E90" s="109" t="s">
        <v>150</v>
      </c>
      <c r="F90" s="111" t="s">
        <v>9</v>
      </c>
      <c r="G90" s="112" t="s">
        <v>31</v>
      </c>
      <c r="H90" s="112" t="s">
        <v>64</v>
      </c>
      <c r="I90" s="112" t="s">
        <v>54</v>
      </c>
      <c r="J90" s="112" t="s">
        <v>270</v>
      </c>
      <c r="K90" s="224"/>
      <c r="L90" s="228"/>
      <c r="M90" s="228"/>
      <c r="N90" s="228"/>
      <c r="O90" s="228"/>
      <c r="P90" s="221"/>
      <c r="Q90" s="124">
        <v>33.799999999999997</v>
      </c>
      <c r="R90" s="124">
        <v>32.1</v>
      </c>
      <c r="S90" s="124">
        <v>23.9</v>
      </c>
      <c r="T90" s="124">
        <v>40.4</v>
      </c>
      <c r="U90" s="124">
        <v>16.399999999999999</v>
      </c>
      <c r="V90" s="124">
        <v>21.4</v>
      </c>
      <c r="W90" s="136" t="s">
        <v>679</v>
      </c>
      <c r="X90" s="122"/>
      <c r="Y90" s="122"/>
      <c r="Z90" s="122"/>
      <c r="AA90" s="122"/>
      <c r="AB90" s="127">
        <v>128.4</v>
      </c>
      <c r="AC90" s="233"/>
      <c r="AD90" s="228"/>
      <c r="AE90" s="411" t="s">
        <v>47</v>
      </c>
      <c r="AF90" s="232"/>
      <c r="AG90" s="228"/>
      <c r="AH90" s="411" t="s">
        <v>47</v>
      </c>
      <c r="AI90" s="135" t="s">
        <v>525</v>
      </c>
      <c r="AJ90" s="122"/>
      <c r="AK90" s="121">
        <v>43</v>
      </c>
      <c r="AL90" s="136" t="s">
        <v>525</v>
      </c>
      <c r="AM90" s="122"/>
      <c r="AN90" s="121">
        <v>26.3</v>
      </c>
      <c r="AO90" s="139" t="s">
        <v>1072</v>
      </c>
      <c r="AP90" s="122"/>
      <c r="AQ90" s="122"/>
      <c r="AR90" s="122"/>
      <c r="AS90" s="122"/>
      <c r="AT90" s="122">
        <v>85.5</v>
      </c>
      <c r="AU90" s="139" t="s">
        <v>1070</v>
      </c>
      <c r="AV90" s="122"/>
      <c r="AW90" s="122"/>
      <c r="AX90" s="122"/>
      <c r="AY90" s="122">
        <v>26.3</v>
      </c>
      <c r="AZ90" s="139" t="s">
        <v>1073</v>
      </c>
      <c r="BA90" s="460">
        <v>8.3000000000000007</v>
      </c>
      <c r="BB90" s="139" t="s">
        <v>1068</v>
      </c>
      <c r="BC90" s="122"/>
      <c r="BD90" s="122">
        <f ca="1">INDIRECT(ADDRESS(MATCH($B90,'【別紙1】標高（入力）'!$B:$B,0),'【別紙1】標高（入力）'!AD$2,4,TRUE,"【別紙1】標高（入力）"))</f>
        <v>10.199999999999321</v>
      </c>
      <c r="BE90" s="139" t="s">
        <v>1333</v>
      </c>
      <c r="BF90" s="121">
        <f ca="1">INDIRECT(ADDRESS(MATCH($B90,'【別紙1】標高（入力）'!$B:$B,0),'【別紙1】標高（入力）'!AF$2,4,TRUE,"【別紙1】標高（入力）"))</f>
        <v>15.200000000000102</v>
      </c>
      <c r="BG90" s="122" t="str">
        <f ca="1">INDIRECT(ADDRESS(MATCH($B90,'【別紙1】標高（入力）'!$B:$B,0),'【別紙1】標高（入力）'!AG$2,4,TRUE,"【別紙1】標高（入力）"))</f>
        <v/>
      </c>
      <c r="BH90" s="122" t="str">
        <f ca="1">INDIRECT(ADDRESS(MATCH($B90,'【別紙1】標高（入力）'!$B:$B,0),'【別紙1】標高（入力）'!AH$2,4,TRUE,"【別紙1】標高（入力）"))</f>
        <v/>
      </c>
      <c r="BI90" s="624"/>
      <c r="BJ90" s="598" t="str">
        <f t="shared" ca="1" si="26"/>
        <v>-</v>
      </c>
      <c r="BK90" s="604">
        <f t="shared" ca="1" si="27"/>
        <v>511.19999999999948</v>
      </c>
      <c r="BL90" s="600" t="str">
        <f ca="1">INDIRECT(ADDRESS(MATCH($B90,'【別紙1】標高（入力）'!$B:$B,0),'【別紙1】標高（入力）'!$N$2,4,TRUE,"【別紙1】標高（入力）"))</f>
        <v>R2</v>
      </c>
      <c r="BM90" s="340">
        <f ca="1">INDIRECT(ADDRESS(MATCH($B90,'【別紙1】標高（入力）'!$B:$B,0),'【別紙1】標高（入力）'!$O$2,4,TRUE,"【別紙1】標高（入力）"))</f>
        <v>6.7087000000000003</v>
      </c>
      <c r="BN90" s="392"/>
    </row>
    <row r="91" spans="1:66" ht="15.95" customHeight="1">
      <c r="A91" s="119">
        <v>415</v>
      </c>
      <c r="B91" s="107" t="s">
        <v>479</v>
      </c>
      <c r="C91" s="114" t="s">
        <v>132</v>
      </c>
      <c r="D91" s="110" t="s">
        <v>339</v>
      </c>
      <c r="E91" s="109" t="s">
        <v>299</v>
      </c>
      <c r="F91" s="111" t="s">
        <v>9</v>
      </c>
      <c r="G91" s="112" t="s">
        <v>10</v>
      </c>
      <c r="H91" s="112" t="s">
        <v>64</v>
      </c>
      <c r="I91" s="112" t="s">
        <v>54</v>
      </c>
      <c r="J91" s="112" t="s">
        <v>270</v>
      </c>
      <c r="K91" s="224"/>
      <c r="L91" s="228"/>
      <c r="M91" s="221"/>
      <c r="N91" s="136" t="s">
        <v>636</v>
      </c>
      <c r="O91" s="127">
        <v>39.200000000000003</v>
      </c>
      <c r="P91" s="124">
        <v>50.8</v>
      </c>
      <c r="Q91" s="124">
        <v>9.3000000000000007</v>
      </c>
      <c r="R91" s="124">
        <v>-2</v>
      </c>
      <c r="S91" s="124">
        <v>14.6</v>
      </c>
      <c r="T91" s="124">
        <v>26.4</v>
      </c>
      <c r="U91" s="124">
        <v>18.3</v>
      </c>
      <c r="V91" s="124">
        <v>51.4</v>
      </c>
      <c r="W91" s="136" t="s">
        <v>679</v>
      </c>
      <c r="X91" s="122"/>
      <c r="Y91" s="122"/>
      <c r="Z91" s="122"/>
      <c r="AA91" s="122"/>
      <c r="AB91" s="127">
        <v>54</v>
      </c>
      <c r="AC91" s="136" t="s">
        <v>1273</v>
      </c>
      <c r="AD91" s="122"/>
      <c r="AE91" s="127">
        <v>31.9</v>
      </c>
      <c r="AF91" s="136" t="s">
        <v>1273</v>
      </c>
      <c r="AG91" s="122"/>
      <c r="AH91" s="121">
        <v>27.8</v>
      </c>
      <c r="AI91" s="139" t="s">
        <v>685</v>
      </c>
      <c r="AJ91" s="122"/>
      <c r="AK91" s="122"/>
      <c r="AL91" s="122"/>
      <c r="AM91" s="122"/>
      <c r="AN91" s="121">
        <v>61.7</v>
      </c>
      <c r="AO91" s="139" t="s">
        <v>1072</v>
      </c>
      <c r="AP91" s="122"/>
      <c r="AQ91" s="122"/>
      <c r="AR91" s="122"/>
      <c r="AS91" s="122"/>
      <c r="AT91" s="122">
        <v>25</v>
      </c>
      <c r="AU91" s="139" t="s">
        <v>1070</v>
      </c>
      <c r="AV91" s="122"/>
      <c r="AW91" s="122"/>
      <c r="AX91" s="122"/>
      <c r="AY91" s="122">
        <v>6.9</v>
      </c>
      <c r="AZ91" s="139" t="s">
        <v>1070</v>
      </c>
      <c r="BA91" s="460"/>
      <c r="BB91" s="122"/>
      <c r="BC91" s="122"/>
      <c r="BD91" s="122">
        <f ca="1">INDIRECT(ADDRESS(MATCH($B91,'【別紙1】標高（入力）'!$B:$B,0),'【別紙1】標高（入力）'!AD$2,4,TRUE,"【別紙1】標高（入力）"))</f>
        <v>-3.3000000000003027</v>
      </c>
      <c r="BE91" s="125" t="str">
        <f ca="1">INDIRECT(ADDRESS(MATCH($B91,'【別紙1】標高（入力）'!$B:$B,0),'【別紙1】標高（入力）'!AE$2,4,TRUE,"【別紙1】標高（入力）"))</f>
        <v/>
      </c>
      <c r="BF91" s="122" t="str">
        <f ca="1">INDIRECT(ADDRESS(MATCH($B91,'【別紙1】標高（入力）'!$B:$B,0),'【別紙1】標高（入力）'!AF$2,4,TRUE,"【別紙1】標高（入力）"))</f>
        <v/>
      </c>
      <c r="BG91" s="122" t="str">
        <f ca="1">INDIRECT(ADDRESS(MATCH($B91,'【別紙1】標高（入力）'!$B:$B,0),'【別紙1】標高（入力）'!AG$2,4,TRUE,"【別紙1】標高（入力）"))</f>
        <v/>
      </c>
      <c r="BH91" s="122" t="str">
        <f ca="1">INDIRECT(ADDRESS(MATCH($B91,'【別紙1】標高（入力）'!$B:$B,0),'【別紙1】標高（入力）'!AH$2,4,TRUE,"【別紙1】標高（入力）"))</f>
        <v/>
      </c>
      <c r="BI91" s="624"/>
      <c r="BJ91" s="598" t="str">
        <f t="shared" ca="1" si="26"/>
        <v>-</v>
      </c>
      <c r="BK91" s="604">
        <f t="shared" ca="1" si="27"/>
        <v>411.99999999999966</v>
      </c>
      <c r="BL91" s="600" t="str">
        <f ca="1">INDIRECT(ADDRESS(MATCH($B91,'【別紙1】標高（入力）'!$B:$B,0),'【別紙1】標高（入力）'!$N$2,4,TRUE,"【別紙1】標高（入力）"))</f>
        <v>H30</v>
      </c>
      <c r="BM91" s="340">
        <f ca="1">INDIRECT(ADDRESS(MATCH($B91,'【別紙1】標高（入力）'!$B:$B,0),'【別紙1】標高（入力）'!$O$2,4,TRUE,"【別紙1】標高（入力）"))</f>
        <v>5.5640000000000001</v>
      </c>
      <c r="BN91" s="392"/>
    </row>
    <row r="92" spans="1:66" ht="15.95" customHeight="1">
      <c r="A92" s="119">
        <v>416</v>
      </c>
      <c r="B92" s="107" t="s">
        <v>481</v>
      </c>
      <c r="C92" s="114" t="s">
        <v>132</v>
      </c>
      <c r="D92" s="110" t="s">
        <v>579</v>
      </c>
      <c r="E92" s="109" t="s">
        <v>153</v>
      </c>
      <c r="F92" s="111" t="s">
        <v>9</v>
      </c>
      <c r="G92" s="112" t="s">
        <v>10</v>
      </c>
      <c r="H92" s="112" t="s">
        <v>541</v>
      </c>
      <c r="I92" s="112" t="s">
        <v>54</v>
      </c>
      <c r="J92" s="112" t="s">
        <v>270</v>
      </c>
      <c r="K92" s="224"/>
      <c r="L92" s="228"/>
      <c r="M92" s="221"/>
      <c r="N92" s="136" t="s">
        <v>636</v>
      </c>
      <c r="O92" s="127">
        <v>79.599999999999994</v>
      </c>
      <c r="P92" s="124">
        <v>30.9</v>
      </c>
      <c r="Q92" s="124">
        <v>38.6</v>
      </c>
      <c r="R92" s="124">
        <v>43.8</v>
      </c>
      <c r="S92" s="124">
        <v>2.1</v>
      </c>
      <c r="T92" s="124">
        <v>37.200000000000003</v>
      </c>
      <c r="U92" s="124">
        <v>21</v>
      </c>
      <c r="V92" s="124">
        <v>63.5</v>
      </c>
      <c r="W92" s="136" t="s">
        <v>1273</v>
      </c>
      <c r="X92" s="122"/>
      <c r="Y92" s="127">
        <v>30.5</v>
      </c>
      <c r="Z92" s="136" t="s">
        <v>1273</v>
      </c>
      <c r="AA92" s="122"/>
      <c r="AB92" s="127">
        <v>43.9</v>
      </c>
      <c r="AC92" s="136" t="s">
        <v>1273</v>
      </c>
      <c r="AD92" s="122"/>
      <c r="AE92" s="127">
        <v>12.3</v>
      </c>
      <c r="AF92" s="136" t="s">
        <v>1273</v>
      </c>
      <c r="AG92" s="122"/>
      <c r="AH92" s="121">
        <v>9.1999999999999993</v>
      </c>
      <c r="AI92" s="139" t="s">
        <v>685</v>
      </c>
      <c r="AJ92" s="122"/>
      <c r="AK92" s="122"/>
      <c r="AL92" s="122"/>
      <c r="AM92" s="122"/>
      <c r="AN92" s="121">
        <v>15</v>
      </c>
      <c r="AO92" s="139" t="s">
        <v>1072</v>
      </c>
      <c r="AP92" s="122"/>
      <c r="AQ92" s="122"/>
      <c r="AR92" s="122"/>
      <c r="AS92" s="122"/>
      <c r="AT92" s="122">
        <v>21.5</v>
      </c>
      <c r="AU92" s="125">
        <v>-1.4</v>
      </c>
      <c r="AV92" s="139" t="s">
        <v>1071</v>
      </c>
      <c r="AW92" s="122"/>
      <c r="AX92" s="122"/>
      <c r="AY92" s="122">
        <v>6.5</v>
      </c>
      <c r="AZ92" s="139" t="s">
        <v>1070</v>
      </c>
      <c r="BA92" s="460"/>
      <c r="BB92" s="122"/>
      <c r="BC92" s="122"/>
      <c r="BD92" s="122">
        <f ca="1">INDIRECT(ADDRESS(MATCH($B92,'【別紙1】標高（入力）'!$B:$B,0),'【別紙1】標高（入力）'!AD$2,4,TRUE,"【別紙1】標高（入力）"))</f>
        <v>2.7000000000008129</v>
      </c>
      <c r="BE92" s="125" t="str">
        <f ca="1">INDIRECT(ADDRESS(MATCH($B92,'【別紙1】標高（入力）'!$B:$B,0),'【別紙1】標高（入力）'!AE$2,4,TRUE,"【別紙1】標高（入力）"))</f>
        <v/>
      </c>
      <c r="BF92" s="122" t="str">
        <f ca="1">INDIRECT(ADDRESS(MATCH($B92,'【別紙1】標高（入力）'!$B:$B,0),'【別紙1】標高（入力）'!AF$2,4,TRUE,"【別紙1】標高（入力）"))</f>
        <v/>
      </c>
      <c r="BG92" s="122" t="str">
        <f ca="1">INDIRECT(ADDRESS(MATCH($B92,'【別紙1】標高（入力）'!$B:$B,0),'【別紙1】標高（入力）'!AG$2,4,TRUE,"【別紙1】標高（入力）"))</f>
        <v/>
      </c>
      <c r="BH92" s="122" t="str">
        <f ca="1">INDIRECT(ADDRESS(MATCH($B92,'【別紙1】標高（入力）'!$B:$B,0),'【別紙1】標高（入力）'!AH$2,4,TRUE,"【別紙1】標高（入力）"))</f>
        <v/>
      </c>
      <c r="BI92" s="624"/>
      <c r="BJ92" s="598" t="str">
        <f t="shared" ca="1" si="26"/>
        <v>-</v>
      </c>
      <c r="BK92" s="604">
        <f t="shared" ca="1" si="27"/>
        <v>456.90000000000077</v>
      </c>
      <c r="BL92" s="600" t="str">
        <f ca="1">INDIRECT(ADDRESS(MATCH($B92,'【別紙1】標高（入力）'!$B:$B,0),'【別紙1】標高（入力）'!$N$2,4,TRUE,"【別紙1】標高（入力）"))</f>
        <v>H30</v>
      </c>
      <c r="BM92" s="340">
        <f ca="1">INDIRECT(ADDRESS(MATCH($B92,'【別紙1】標高（入力）'!$B:$B,0),'【別紙1】標高（入力）'!$O$2,4,TRUE,"【別紙1】標高（入力）"))</f>
        <v>9.375</v>
      </c>
      <c r="BN92" s="392"/>
    </row>
    <row r="93" spans="1:66" s="231" customFormat="1" ht="15.95" customHeight="1">
      <c r="A93" s="214">
        <v>417</v>
      </c>
      <c r="B93" s="215" t="s">
        <v>482</v>
      </c>
      <c r="C93" s="216" t="s">
        <v>132</v>
      </c>
      <c r="D93" s="217" t="s">
        <v>686</v>
      </c>
      <c r="E93" s="218" t="s">
        <v>155</v>
      </c>
      <c r="F93" s="219" t="s">
        <v>9</v>
      </c>
      <c r="G93" s="220" t="s">
        <v>10</v>
      </c>
      <c r="H93" s="220" t="s">
        <v>541</v>
      </c>
      <c r="I93" s="220" t="s">
        <v>54</v>
      </c>
      <c r="J93" s="220" t="s">
        <v>270</v>
      </c>
      <c r="K93" s="224"/>
      <c r="L93" s="228"/>
      <c r="M93" s="221"/>
      <c r="N93" s="136" t="s">
        <v>636</v>
      </c>
      <c r="O93" s="127">
        <v>34.200000000000003</v>
      </c>
      <c r="P93" s="124">
        <v>36.4</v>
      </c>
      <c r="Q93" s="124">
        <v>8.4</v>
      </c>
      <c r="R93" s="124">
        <v>28.8</v>
      </c>
      <c r="S93" s="124">
        <v>32.299999999999997</v>
      </c>
      <c r="T93" s="123">
        <v>25</v>
      </c>
      <c r="U93" s="411" t="s">
        <v>47</v>
      </c>
      <c r="V93" s="127">
        <v>8.5</v>
      </c>
      <c r="W93" s="136" t="s">
        <v>679</v>
      </c>
      <c r="X93" s="122"/>
      <c r="Y93" s="122"/>
      <c r="Z93" s="122"/>
      <c r="AA93" s="122"/>
      <c r="AB93" s="127">
        <v>48.7</v>
      </c>
      <c r="AC93" s="136" t="s">
        <v>1273</v>
      </c>
      <c r="AD93" s="122"/>
      <c r="AE93" s="127">
        <v>21.5</v>
      </c>
      <c r="AF93" s="136" t="s">
        <v>1273</v>
      </c>
      <c r="AG93" s="122"/>
      <c r="AH93" s="121">
        <v>16.899999999999999</v>
      </c>
      <c r="AI93" s="139" t="s">
        <v>685</v>
      </c>
      <c r="AJ93" s="122"/>
      <c r="AK93" s="122"/>
      <c r="AL93" s="122"/>
      <c r="AM93" s="122"/>
      <c r="AN93" s="121">
        <v>39.299999999999997</v>
      </c>
      <c r="AO93" s="139" t="s">
        <v>1072</v>
      </c>
      <c r="AP93" s="122"/>
      <c r="AQ93" s="122"/>
      <c r="AR93" s="122"/>
      <c r="AS93" s="122"/>
      <c r="AT93" s="127">
        <v>48.1</v>
      </c>
      <c r="AU93" s="224"/>
      <c r="AV93" s="228"/>
      <c r="AW93" s="228"/>
      <c r="AX93" s="232"/>
      <c r="AY93" s="228"/>
      <c r="AZ93" s="228"/>
      <c r="BA93" s="462"/>
      <c r="BB93" s="228"/>
      <c r="BC93" s="228"/>
      <c r="BD93" s="228"/>
      <c r="BE93" s="228"/>
      <c r="BF93" s="228"/>
      <c r="BG93" s="228"/>
      <c r="BH93" s="625"/>
      <c r="BI93" s="570"/>
      <c r="BJ93" s="599" t="str">
        <f t="shared" si="22"/>
        <v>-</v>
      </c>
      <c r="BK93" s="605">
        <f t="shared" si="23"/>
        <v>348.1</v>
      </c>
      <c r="BL93" s="603" t="s">
        <v>1188</v>
      </c>
      <c r="BM93" s="344" t="s">
        <v>1189</v>
      </c>
      <c r="BN93" s="393" t="s">
        <v>726</v>
      </c>
    </row>
    <row r="94" spans="1:66" ht="15.95" customHeight="1">
      <c r="A94" s="119">
        <v>418</v>
      </c>
      <c r="B94" s="107" t="s">
        <v>1178</v>
      </c>
      <c r="C94" s="114" t="s">
        <v>528</v>
      </c>
      <c r="D94" s="110" t="s">
        <v>686</v>
      </c>
      <c r="E94" s="109" t="s">
        <v>1426</v>
      </c>
      <c r="F94" s="111" t="s">
        <v>1262</v>
      </c>
      <c r="G94" s="112" t="s">
        <v>1263</v>
      </c>
      <c r="H94" s="112" t="s">
        <v>1264</v>
      </c>
      <c r="I94" s="112" t="s">
        <v>1265</v>
      </c>
      <c r="J94" s="112" t="s">
        <v>1266</v>
      </c>
      <c r="K94" s="224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9"/>
      <c r="AX94" s="138" t="s">
        <v>289</v>
      </c>
      <c r="AY94" s="138" t="s">
        <v>256</v>
      </c>
      <c r="AZ94" s="135" t="s">
        <v>1069</v>
      </c>
      <c r="BA94" s="460">
        <v>5</v>
      </c>
      <c r="BB94" s="139" t="s">
        <v>1068</v>
      </c>
      <c r="BC94" s="122"/>
      <c r="BD94" s="122">
        <f ca="1">INDIRECT(ADDRESS(MATCH($B94,'【別紙1】標高（入力）'!$B:$B,0),'【別紙1】標高（入力）'!AD$2,4,TRUE,"【別紙1】標高（入力）"))</f>
        <v>5.3000000000000824</v>
      </c>
      <c r="BE94" s="139" t="s">
        <v>1333</v>
      </c>
      <c r="BF94" s="121">
        <f ca="1">INDIRECT(ADDRESS(MATCH($B94,'【別紙1】標高（入力）'!$B:$B,0),'【別紙1】標高（入力）'!AF$2,4,TRUE,"【別紙1】標高（入力）"))</f>
        <v>8.6000000000003851</v>
      </c>
      <c r="BG94" s="122" t="str">
        <f ca="1">INDIRECT(ADDRESS(MATCH($B94,'【別紙1】標高（入力）'!$B:$B,0),'【別紙1】標高（入力）'!AG$2,4,TRUE,"【別紙1】標高（入力）"))</f>
        <v/>
      </c>
      <c r="BH94" s="122" t="str">
        <f ca="1">INDIRECT(ADDRESS(MATCH($B94,'【別紙1】標高（入力）'!$B:$B,0),'【別紙1】標高（入力）'!AH$2,4,TRUE,"【別紙1】標高（入力）"))</f>
        <v/>
      </c>
      <c r="BI94" s="624"/>
      <c r="BJ94" s="598" t="str">
        <f ca="1">IF(AND(ISNUMBER(BI94)*1,ISNUMBER(BH94)*1),BI94,"-")</f>
        <v>-</v>
      </c>
      <c r="BK94" s="604">
        <f ca="1">SUM(K94:BI94)</f>
        <v>18.900000000000468</v>
      </c>
      <c r="BL94" s="600" t="str">
        <f ca="1">INDIRECT(ADDRESS(MATCH($B94,'【別紙1】標高（入力）'!$B:$B,0),'【別紙1】標高（入力）'!$N$2,4,TRUE,"【別紙1】標高（入力）"))</f>
        <v>R2</v>
      </c>
      <c r="BM94" s="340">
        <f ca="1">INDIRECT(ADDRESS(MATCH($B94,'【別紙1】標高（入力）'!$B:$B,0),'【別紙1】標高（入力）'!$O$2,4,TRUE,"【別紙1】標高（入力）"))</f>
        <v>6.7367999999999997</v>
      </c>
      <c r="BN94" s="392" t="s">
        <v>1133</v>
      </c>
    </row>
    <row r="95" spans="1:66" s="231" customFormat="1" ht="15.95" customHeight="1">
      <c r="A95" s="214">
        <v>501</v>
      </c>
      <c r="B95" s="595">
        <v>7287</v>
      </c>
      <c r="C95" s="216" t="s">
        <v>156</v>
      </c>
      <c r="D95" s="217" t="s">
        <v>646</v>
      </c>
      <c r="E95" s="218" t="s">
        <v>157</v>
      </c>
      <c r="F95" s="219" t="s">
        <v>12</v>
      </c>
      <c r="G95" s="220" t="s">
        <v>31</v>
      </c>
      <c r="H95" s="220" t="s">
        <v>541</v>
      </c>
      <c r="I95" s="220" t="s">
        <v>312</v>
      </c>
      <c r="J95" s="220" t="s">
        <v>263</v>
      </c>
      <c r="K95" s="224"/>
      <c r="L95" s="228"/>
      <c r="M95" s="228"/>
      <c r="N95" s="228"/>
      <c r="O95" s="228"/>
      <c r="P95" s="221"/>
      <c r="Q95" s="124">
        <v>7.4</v>
      </c>
      <c r="R95" s="124">
        <v>0.6</v>
      </c>
      <c r="S95" s="136" t="s">
        <v>636</v>
      </c>
      <c r="T95" s="127">
        <v>1.8</v>
      </c>
      <c r="U95" s="224"/>
      <c r="V95" s="228"/>
      <c r="W95" s="228"/>
      <c r="X95" s="228"/>
      <c r="Y95" s="228"/>
      <c r="Z95" s="229"/>
      <c r="AA95" s="411" t="s">
        <v>47</v>
      </c>
      <c r="AB95" s="405" t="s">
        <v>1280</v>
      </c>
      <c r="AC95" s="136" t="s">
        <v>679</v>
      </c>
      <c r="AD95" s="130"/>
      <c r="AE95" s="122"/>
      <c r="AF95" s="122"/>
      <c r="AG95" s="122"/>
      <c r="AH95" s="122">
        <v>3.5</v>
      </c>
      <c r="AI95" s="225"/>
      <c r="AJ95" s="228"/>
      <c r="AK95" s="228"/>
      <c r="AL95" s="228"/>
      <c r="AM95" s="228"/>
      <c r="AN95" s="228"/>
      <c r="AO95" s="228"/>
      <c r="AP95" s="234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462"/>
      <c r="BB95" s="228"/>
      <c r="BC95" s="228"/>
      <c r="BD95" s="228"/>
      <c r="BE95" s="228"/>
      <c r="BF95" s="228"/>
      <c r="BG95" s="228"/>
      <c r="BH95" s="625"/>
      <c r="BI95" s="625"/>
      <c r="BJ95" s="599" t="str">
        <f t="shared" si="22"/>
        <v>-</v>
      </c>
      <c r="BK95" s="605">
        <f t="shared" si="23"/>
        <v>13.3</v>
      </c>
      <c r="BL95" s="603" t="s">
        <v>1188</v>
      </c>
      <c r="BM95" s="344" t="s">
        <v>1189</v>
      </c>
      <c r="BN95" s="393" t="s">
        <v>348</v>
      </c>
    </row>
    <row r="96" spans="1:66" ht="15.95" customHeight="1">
      <c r="A96" s="119">
        <v>502</v>
      </c>
      <c r="B96" s="591">
        <v>7288</v>
      </c>
      <c r="C96" s="114" t="s">
        <v>156</v>
      </c>
      <c r="D96" s="110" t="s">
        <v>639</v>
      </c>
      <c r="E96" s="109" t="s">
        <v>159</v>
      </c>
      <c r="F96" s="111" t="s">
        <v>12</v>
      </c>
      <c r="G96" s="112" t="s">
        <v>31</v>
      </c>
      <c r="H96" s="112" t="s">
        <v>541</v>
      </c>
      <c r="I96" s="112" t="s">
        <v>310</v>
      </c>
      <c r="J96" s="112" t="s">
        <v>263</v>
      </c>
      <c r="K96" s="224"/>
      <c r="L96" s="228"/>
      <c r="M96" s="228"/>
      <c r="N96" s="228"/>
      <c r="O96" s="228"/>
      <c r="P96" s="221"/>
      <c r="Q96" s="124">
        <v>4.9000000000000004</v>
      </c>
      <c r="R96" s="124">
        <v>-4.7</v>
      </c>
      <c r="S96" s="136" t="s">
        <v>636</v>
      </c>
      <c r="T96" s="127">
        <v>3.3</v>
      </c>
      <c r="U96" s="136" t="s">
        <v>1275</v>
      </c>
      <c r="V96" s="122"/>
      <c r="W96" s="122"/>
      <c r="X96" s="122"/>
      <c r="Y96" s="122"/>
      <c r="Z96" s="122"/>
      <c r="AA96" s="122"/>
      <c r="AB96" s="127">
        <v>9.3000000000000007</v>
      </c>
      <c r="AC96" s="136" t="s">
        <v>679</v>
      </c>
      <c r="AD96" s="122"/>
      <c r="AE96" s="122"/>
      <c r="AF96" s="122"/>
      <c r="AG96" s="122"/>
      <c r="AH96" s="122">
        <v>-2.9</v>
      </c>
      <c r="AI96" s="139" t="s">
        <v>707</v>
      </c>
      <c r="AJ96" s="122"/>
      <c r="AK96" s="122"/>
      <c r="AL96" s="122"/>
      <c r="AM96" s="122"/>
      <c r="AN96" s="122"/>
      <c r="AO96" s="122"/>
      <c r="AP96" s="121">
        <v>15.8</v>
      </c>
      <c r="AQ96" s="135" t="s">
        <v>1072</v>
      </c>
      <c r="AR96" s="122"/>
      <c r="AS96" s="122"/>
      <c r="AT96" s="122"/>
      <c r="AU96" s="122"/>
      <c r="AV96" s="122">
        <v>-1.8</v>
      </c>
      <c r="AW96" s="139" t="s">
        <v>1072</v>
      </c>
      <c r="AX96" s="122"/>
      <c r="AY96" s="122"/>
      <c r="AZ96" s="122"/>
      <c r="BA96" s="460"/>
      <c r="BB96" s="121">
        <v>4.4000000000000004</v>
      </c>
      <c r="BC96" s="139" t="s">
        <v>1070</v>
      </c>
      <c r="BD96" s="122" t="str">
        <f ca="1">INDIRECT(ADDRESS(MATCH($B96,'【別紙1】標高（入力）'!$B:$B,0),'【別紙1】標高（入力）'!AD$2,4,TRUE,"【別紙1】標高（入力）"))</f>
        <v/>
      </c>
      <c r="BE96" s="122" t="str">
        <f ca="1">INDIRECT(ADDRESS(MATCH($B96,'【別紙1】標高（入力）'!$B:$B,0),'【別紙1】標高（入力）'!AE$2,4,TRUE,"【別紙1】標高（入力）"))</f>
        <v/>
      </c>
      <c r="BF96" s="122" t="str">
        <f ca="1">INDIRECT(ADDRESS(MATCH($B96,'【別紙1】標高（入力）'!$B:$B,0),'【別紙1】標高（入力）'!AF$2,4,TRUE,"【別紙1】標高（入力）"))</f>
        <v/>
      </c>
      <c r="BG96" s="121">
        <f ca="1">INDIRECT(ADDRESS(MATCH($B96,'【別紙1】標高（入力）'!$B:$B,0),'【別紙1】標高（入力）'!AG$2,4,TRUE,"【別紙1】標高（入力）"))</f>
        <v>1.2000000000043087</v>
      </c>
      <c r="BH96" s="126">
        <f ca="1">INDIRECT(ADDRESS(MATCH($B96,'【別紙1】標高（入力）'!$B:$B,0),'【別紙1】標高（入力）'!AH$2,4,TRUE,"【別紙1】標高（入力）"))</f>
        <v>2.0999999999986585</v>
      </c>
      <c r="BI96" s="624"/>
      <c r="BJ96" s="598" t="str">
        <f t="shared" ref="BJ96:BJ102" ca="1" si="28">IF(AND(ISNUMBER(BI96)*1,ISNUMBER(BH96)*1),BI96,"-")</f>
        <v>-</v>
      </c>
      <c r="BK96" s="604">
        <f t="shared" ref="BK96:BK102" ca="1" si="29">SUM(K96:BI96)</f>
        <v>31.600000000002971</v>
      </c>
      <c r="BL96" s="600" t="str">
        <f ca="1">INDIRECT(ADDRESS(MATCH($B96,'【別紙1】標高（入力）'!$B:$B,0),'【別紙1】標高（入力）'!$N$2,4,TRUE,"【別紙1】標高（入力）"))</f>
        <v>R4</v>
      </c>
      <c r="BM96" s="340">
        <f ca="1">INDIRECT(ADDRESS(MATCH($B96,'【別紙1】標高（入力）'!$B:$B,0),'【別紙1】標高（入力）'!$O$2,4,TRUE,"【別紙1】標高（入力）"))</f>
        <v>52.209699999999998</v>
      </c>
      <c r="BN96" s="392"/>
    </row>
    <row r="97" spans="1:66" ht="15.95" customHeight="1">
      <c r="A97" s="119">
        <v>503</v>
      </c>
      <c r="B97" s="591">
        <v>7289</v>
      </c>
      <c r="C97" s="114" t="s">
        <v>156</v>
      </c>
      <c r="D97" s="110" t="s">
        <v>574</v>
      </c>
      <c r="E97" s="597" t="s">
        <v>1427</v>
      </c>
      <c r="F97" s="111" t="s">
        <v>12</v>
      </c>
      <c r="G97" s="112" t="s">
        <v>31</v>
      </c>
      <c r="H97" s="112" t="s">
        <v>541</v>
      </c>
      <c r="I97" s="112" t="s">
        <v>312</v>
      </c>
      <c r="J97" s="112" t="s">
        <v>263</v>
      </c>
      <c r="K97" s="224"/>
      <c r="L97" s="228"/>
      <c r="M97" s="228"/>
      <c r="N97" s="228"/>
      <c r="O97" s="228"/>
      <c r="P97" s="221"/>
      <c r="Q97" s="124">
        <v>3.7</v>
      </c>
      <c r="R97" s="124">
        <v>-0.3</v>
      </c>
      <c r="S97" s="136" t="s">
        <v>636</v>
      </c>
      <c r="T97" s="127">
        <v>0.5</v>
      </c>
      <c r="U97" s="136" t="s">
        <v>652</v>
      </c>
      <c r="V97" s="122"/>
      <c r="W97" s="122"/>
      <c r="X97" s="127">
        <v>2.9</v>
      </c>
      <c r="Y97" s="136" t="s">
        <v>652</v>
      </c>
      <c r="Z97" s="122"/>
      <c r="AA97" s="122"/>
      <c r="AB97" s="127">
        <v>11.5</v>
      </c>
      <c r="AC97" s="136" t="s">
        <v>1273</v>
      </c>
      <c r="AD97" s="122"/>
      <c r="AE97" s="127">
        <v>-2.1</v>
      </c>
      <c r="AF97" s="136" t="s">
        <v>1273</v>
      </c>
      <c r="AG97" s="122"/>
      <c r="AH97" s="122">
        <v>-0.3</v>
      </c>
      <c r="AI97" s="139" t="s">
        <v>707</v>
      </c>
      <c r="AJ97" s="122"/>
      <c r="AK97" s="122"/>
      <c r="AL97" s="122"/>
      <c r="AM97" s="122"/>
      <c r="AN97" s="122"/>
      <c r="AO97" s="122"/>
      <c r="AP97" s="121">
        <v>19.100000000000001</v>
      </c>
      <c r="AQ97" s="139" t="s">
        <v>1071</v>
      </c>
      <c r="AR97" s="122"/>
      <c r="AS97" s="122"/>
      <c r="AT97" s="122">
        <v>-2.1</v>
      </c>
      <c r="AU97" s="125">
        <v>-2.2000000000000002</v>
      </c>
      <c r="AV97" s="125">
        <v>1.2</v>
      </c>
      <c r="AW97" s="139" t="s">
        <v>1068</v>
      </c>
      <c r="AX97" s="122"/>
      <c r="AY97" s="122">
        <v>-5.6</v>
      </c>
      <c r="AZ97" s="139" t="s">
        <v>1069</v>
      </c>
      <c r="BA97" s="460">
        <v>-0.5</v>
      </c>
      <c r="BB97" s="126">
        <v>0.9</v>
      </c>
      <c r="BC97" s="139" t="s">
        <v>1069</v>
      </c>
      <c r="BD97" s="122">
        <f ca="1">INDIRECT(ADDRESS(MATCH($B97,'【別紙1】標高（入力）'!$B:$B,0),'【別紙1】標高（入力）'!AD$2,4,TRUE,"【別紙1】標高（入力）"))</f>
        <v>-0.79999999999813554</v>
      </c>
      <c r="BE97" s="139" t="s">
        <v>1333</v>
      </c>
      <c r="BF97" s="121">
        <f ca="1">INDIRECT(ADDRESS(MATCH($B97,'【別紙1】標高（入力）'!$B:$B,0),'【別紙1】標高（入力）'!AF$2,4,TRUE,"【別紙1】標高（入力）"))</f>
        <v>4.2000000000044224</v>
      </c>
      <c r="BG97" s="121">
        <f ca="1">INDIRECT(ADDRESS(MATCH($B97,'【別紙1】標高（入力）'!$B:$B,0),'【別紙1】標高（入力）'!AG$2,4,TRUE,"【別紙1】標高（入力）"))</f>
        <v>-0.90000000000145519</v>
      </c>
      <c r="BH97" s="125" t="str">
        <f ca="1">INDIRECT(ADDRESS(MATCH($B97,'【別紙1】標高（入力）'!$B:$B,0),'【別紙1】標高（入力）'!AH$2,4,TRUE,"【別紙1】標高（入力）"))</f>
        <v/>
      </c>
      <c r="BI97" s="567"/>
      <c r="BJ97" s="598" t="str">
        <f t="shared" ca="1" si="28"/>
        <v>-</v>
      </c>
      <c r="BK97" s="604">
        <f t="shared" ca="1" si="29"/>
        <v>29.200000000004827</v>
      </c>
      <c r="BL97" s="600" t="str">
        <f ca="1">INDIRECT(ADDRESS(MATCH($B97,'【別紙1】標高（入力）'!$B:$B,0),'【別紙1】標高（入力）'!$N$2,4,TRUE,"【別紙1】標高（入力）"))</f>
        <v>R3</v>
      </c>
      <c r="BM97" s="340">
        <f ca="1">INDIRECT(ADDRESS(MATCH($B97,'【別紙1】標高（入力）'!$B:$B,0),'【別紙1】標高（入力）'!$O$2,4,TRUE,"【別紙1】標高（入力）"))</f>
        <v>34.584499999999998</v>
      </c>
      <c r="BN97" s="392"/>
    </row>
    <row r="98" spans="1:66" ht="15.95" customHeight="1">
      <c r="A98" s="119">
        <v>504</v>
      </c>
      <c r="B98" s="107" t="s">
        <v>484</v>
      </c>
      <c r="C98" s="114" t="s">
        <v>156</v>
      </c>
      <c r="D98" s="110" t="s">
        <v>560</v>
      </c>
      <c r="E98" s="597" t="s">
        <v>1428</v>
      </c>
      <c r="F98" s="111" t="s">
        <v>9</v>
      </c>
      <c r="G98" s="112" t="s">
        <v>10</v>
      </c>
      <c r="H98" s="112" t="s">
        <v>541</v>
      </c>
      <c r="I98" s="112" t="s">
        <v>281</v>
      </c>
      <c r="J98" s="112" t="s">
        <v>547</v>
      </c>
      <c r="K98" s="224"/>
      <c r="L98" s="228"/>
      <c r="M98" s="221"/>
      <c r="N98" s="136" t="s">
        <v>1273</v>
      </c>
      <c r="O98" s="122"/>
      <c r="P98" s="127">
        <v>2</v>
      </c>
      <c r="Q98" s="124">
        <v>9.1999999999999993</v>
      </c>
      <c r="R98" s="124">
        <v>1.8</v>
      </c>
      <c r="S98" s="136" t="s">
        <v>636</v>
      </c>
      <c r="T98" s="127">
        <v>7</v>
      </c>
      <c r="U98" s="136" t="s">
        <v>1275</v>
      </c>
      <c r="V98" s="122"/>
      <c r="W98" s="122"/>
      <c r="X98" s="122"/>
      <c r="Y98" s="122"/>
      <c r="Z98" s="122"/>
      <c r="AA98" s="122"/>
      <c r="AB98" s="127">
        <v>10.7</v>
      </c>
      <c r="AC98" s="136" t="s">
        <v>1273</v>
      </c>
      <c r="AD98" s="122"/>
      <c r="AE98" s="127">
        <v>1.8</v>
      </c>
      <c r="AF98" s="136" t="s">
        <v>1273</v>
      </c>
      <c r="AG98" s="122"/>
      <c r="AH98" s="122">
        <v>1.4</v>
      </c>
      <c r="AI98" s="139" t="s">
        <v>707</v>
      </c>
      <c r="AJ98" s="122"/>
      <c r="AK98" s="122"/>
      <c r="AL98" s="122"/>
      <c r="AM98" s="122"/>
      <c r="AN98" s="122"/>
      <c r="AO98" s="122"/>
      <c r="AP98" s="121">
        <v>26.3</v>
      </c>
      <c r="AQ98" s="135" t="s">
        <v>1072</v>
      </c>
      <c r="AR98" s="122"/>
      <c r="AS98" s="122"/>
      <c r="AT98" s="122"/>
      <c r="AU98" s="122"/>
      <c r="AV98" s="121">
        <v>-5.4</v>
      </c>
      <c r="AW98" s="139" t="s">
        <v>1070</v>
      </c>
      <c r="AX98" s="122"/>
      <c r="AY98" s="122"/>
      <c r="AZ98" s="122"/>
      <c r="BA98" s="460">
        <v>0.2</v>
      </c>
      <c r="BB98" s="139"/>
      <c r="BC98" s="122"/>
      <c r="BD98" s="138" t="s">
        <v>530</v>
      </c>
      <c r="BE98" s="135" t="s">
        <v>1383</v>
      </c>
      <c r="BF98" s="122" t="str">
        <f ca="1">INDIRECT(ADDRESS(MATCH($B98,'【別紙1】標高（入力）'!$B:$B,0),'【別紙1】標高（入力）'!AF$2,4,TRUE,"【別紙1】標高（入力）"))</f>
        <v/>
      </c>
      <c r="BG98" s="122"/>
      <c r="BH98" s="121">
        <f ca="1">INDIRECT(ADDRESS(MATCH($B98,'【別紙1】標高（入力）'!$B:$B,0),'【別紙1】標高（入力）'!AH$2,4,TRUE,"【別紙1】標高（入力）"))</f>
        <v>2.0000000000024443</v>
      </c>
      <c r="BI98" s="624"/>
      <c r="BJ98" s="598" t="str">
        <f t="shared" ca="1" si="28"/>
        <v>-</v>
      </c>
      <c r="BK98" s="604">
        <f t="shared" ca="1" si="29"/>
        <v>57.000000000002451</v>
      </c>
      <c r="BL98" s="600" t="str">
        <f ca="1">INDIRECT(ADDRESS(MATCH($B98,'【別紙1】標高（入力）'!$B:$B,0),'【別紙1】標高（入力）'!$N$2,4,TRUE,"【別紙1】標高（入力）"))</f>
        <v>R4</v>
      </c>
      <c r="BM98" s="340">
        <f ca="1">INDIRECT(ADDRESS(MATCH($B98,'【別紙1】標高（入力）'!$B:$B,0),'【別紙1】標高（入力）'!$O$2,4,TRUE,"【別紙1】標高（入力）"))</f>
        <v>51.691699999999997</v>
      </c>
      <c r="BN98" s="392" t="s">
        <v>1478</v>
      </c>
    </row>
    <row r="99" spans="1:66" ht="15.95" customHeight="1">
      <c r="A99" s="119">
        <v>505</v>
      </c>
      <c r="B99" s="107" t="s">
        <v>486</v>
      </c>
      <c r="C99" s="114" t="s">
        <v>156</v>
      </c>
      <c r="D99" s="110" t="s">
        <v>719</v>
      </c>
      <c r="E99" s="109" t="s">
        <v>165</v>
      </c>
      <c r="F99" s="111" t="s">
        <v>9</v>
      </c>
      <c r="G99" s="112" t="s">
        <v>10</v>
      </c>
      <c r="H99" s="112" t="s">
        <v>541</v>
      </c>
      <c r="I99" s="112" t="s">
        <v>312</v>
      </c>
      <c r="J99" s="112" t="s">
        <v>263</v>
      </c>
      <c r="K99" s="224"/>
      <c r="L99" s="228"/>
      <c r="M99" s="221"/>
      <c r="N99" s="136" t="s">
        <v>1273</v>
      </c>
      <c r="O99" s="122"/>
      <c r="P99" s="127">
        <v>6.6</v>
      </c>
      <c r="Q99" s="124">
        <v>6.4</v>
      </c>
      <c r="R99" s="124">
        <v>2.5</v>
      </c>
      <c r="S99" s="136" t="s">
        <v>636</v>
      </c>
      <c r="T99" s="127">
        <v>1.5</v>
      </c>
      <c r="U99" s="136" t="s">
        <v>1275</v>
      </c>
      <c r="V99" s="122"/>
      <c r="W99" s="122"/>
      <c r="X99" s="122"/>
      <c r="Y99" s="122"/>
      <c r="Z99" s="122"/>
      <c r="AA99" s="122"/>
      <c r="AB99" s="127">
        <v>13.1</v>
      </c>
      <c r="AC99" s="136" t="s">
        <v>1273</v>
      </c>
      <c r="AD99" s="122"/>
      <c r="AE99" s="127">
        <v>2.7</v>
      </c>
      <c r="AF99" s="136" t="s">
        <v>1273</v>
      </c>
      <c r="AG99" s="122"/>
      <c r="AH99" s="122">
        <v>0.6</v>
      </c>
      <c r="AI99" s="139" t="s">
        <v>707</v>
      </c>
      <c r="AJ99" s="122"/>
      <c r="AK99" s="122"/>
      <c r="AL99" s="122"/>
      <c r="AM99" s="122"/>
      <c r="AN99" s="122"/>
      <c r="AO99" s="122"/>
      <c r="AP99" s="121">
        <v>19.5</v>
      </c>
      <c r="AQ99" s="139" t="s">
        <v>1071</v>
      </c>
      <c r="AR99" s="122"/>
      <c r="AS99" s="122"/>
      <c r="AT99" s="122">
        <v>-2.2999999999999998</v>
      </c>
      <c r="AU99" s="126">
        <v>0.3</v>
      </c>
      <c r="AV99" s="139" t="s">
        <v>1071</v>
      </c>
      <c r="AW99" s="122"/>
      <c r="AX99" s="122"/>
      <c r="AY99" s="122">
        <v>6.2</v>
      </c>
      <c r="AZ99" s="139" t="s">
        <v>1069</v>
      </c>
      <c r="BA99" s="460">
        <v>-0.7</v>
      </c>
      <c r="BB99" s="139" t="s">
        <v>1068</v>
      </c>
      <c r="BC99" s="122"/>
      <c r="BD99" s="122">
        <f ca="1">INDIRECT(ADDRESS(MATCH($B99,'【別紙1】標高（入力）'!$B:$B,0),'【別紙1】標高（入力）'!AD$2,4,TRUE,"【別紙1】標高（入力）"))</f>
        <v>-1.2000000000043087</v>
      </c>
      <c r="BE99" s="139" t="s">
        <v>1333</v>
      </c>
      <c r="BF99" s="121">
        <f ca="1">INDIRECT(ADDRESS(MATCH($B99,'【別紙1】標高（入力）'!$B:$B,0),'【別紙1】標高（入力）'!AF$2,4,TRUE,"【別紙1】標高（入力）"))</f>
        <v>5.0999999999987722</v>
      </c>
      <c r="BG99" s="139" t="s">
        <v>1384</v>
      </c>
      <c r="BH99" s="121">
        <f ca="1">INDIRECT(ADDRESS(MATCH($B99,'【別紙1】標高（入力）'!$B:$B,0),'【別紙1】標高（入力）'!AH$2,4,TRUE,"【別紙1】標高（入力）"))</f>
        <v>2.9000000000038995</v>
      </c>
      <c r="BI99" s="624"/>
      <c r="BJ99" s="598" t="str">
        <f t="shared" ca="1" si="28"/>
        <v>-</v>
      </c>
      <c r="BK99" s="604">
        <f t="shared" ca="1" si="29"/>
        <v>63.199999999998369</v>
      </c>
      <c r="BL99" s="600" t="str">
        <f ca="1">INDIRECT(ADDRESS(MATCH($B99,'【別紙1】標高（入力）'!$B:$B,0),'【別紙1】標高（入力）'!$N$2,4,TRUE,"【別紙1】標高（入力）"))</f>
        <v>R4</v>
      </c>
      <c r="BM99" s="340">
        <f ca="1">INDIRECT(ADDRESS(MATCH($B99,'【別紙1】標高（入力）'!$B:$B,0),'【別紙1】標高（入力）'!$O$2,4,TRUE,"【別紙1】標高（入力）"))</f>
        <v>35.787199999999999</v>
      </c>
      <c r="BN99" s="392"/>
    </row>
    <row r="100" spans="1:66" ht="15.95" customHeight="1">
      <c r="A100" s="119">
        <v>506</v>
      </c>
      <c r="B100" s="107" t="s">
        <v>1179</v>
      </c>
      <c r="C100" s="114" t="s">
        <v>156</v>
      </c>
      <c r="D100" s="110" t="s">
        <v>712</v>
      </c>
      <c r="E100" s="109" t="s">
        <v>167</v>
      </c>
      <c r="F100" s="111" t="s">
        <v>9</v>
      </c>
      <c r="G100" s="112" t="s">
        <v>10</v>
      </c>
      <c r="H100" s="112" t="s">
        <v>541</v>
      </c>
      <c r="I100" s="112" t="s">
        <v>312</v>
      </c>
      <c r="J100" s="112" t="s">
        <v>263</v>
      </c>
      <c r="K100" s="224"/>
      <c r="L100" s="228"/>
      <c r="M100" s="221"/>
      <c r="N100" s="136" t="s">
        <v>1273</v>
      </c>
      <c r="O100" s="122"/>
      <c r="P100" s="127">
        <v>6.5</v>
      </c>
      <c r="Q100" s="124">
        <v>4.3</v>
      </c>
      <c r="R100" s="224"/>
      <c r="S100" s="228"/>
      <c r="T100" s="228"/>
      <c r="U100" s="221"/>
      <c r="V100" s="129" t="s">
        <v>168</v>
      </c>
      <c r="W100" s="224"/>
      <c r="X100" s="221"/>
      <c r="Y100" s="136" t="s">
        <v>652</v>
      </c>
      <c r="Z100" s="122"/>
      <c r="AA100" s="122"/>
      <c r="AB100" s="127">
        <v>11</v>
      </c>
      <c r="AC100" s="136" t="s">
        <v>1273</v>
      </c>
      <c r="AD100" s="122"/>
      <c r="AE100" s="127">
        <v>0.2</v>
      </c>
      <c r="AF100" s="136" t="s">
        <v>1273</v>
      </c>
      <c r="AG100" s="122"/>
      <c r="AH100" s="122">
        <v>-0.3</v>
      </c>
      <c r="AI100" s="139" t="s">
        <v>707</v>
      </c>
      <c r="AJ100" s="122"/>
      <c r="AK100" s="122"/>
      <c r="AL100" s="122"/>
      <c r="AM100" s="122"/>
      <c r="AN100" s="122"/>
      <c r="AO100" s="122"/>
      <c r="AP100" s="121">
        <v>18.600000000000001</v>
      </c>
      <c r="AQ100" s="139" t="s">
        <v>1071</v>
      </c>
      <c r="AR100" s="122"/>
      <c r="AS100" s="122"/>
      <c r="AT100" s="122">
        <v>0.4</v>
      </c>
      <c r="AU100" s="125">
        <v>-2.1</v>
      </c>
      <c r="AV100" s="139" t="s">
        <v>1071</v>
      </c>
      <c r="AW100" s="122"/>
      <c r="AX100" s="122"/>
      <c r="AY100" s="122">
        <v>3.7</v>
      </c>
      <c r="AZ100" s="139" t="s">
        <v>1069</v>
      </c>
      <c r="BA100" s="460">
        <v>-0.9</v>
      </c>
      <c r="BB100" s="139" t="s">
        <v>1068</v>
      </c>
      <c r="BC100" s="122"/>
      <c r="BD100" s="122">
        <f ca="1">INDIRECT(ADDRESS(MATCH($B100,'【別紙1】標高（入力）'!$B:$B,0),'【別紙1】標高（入力）'!AD$2,4,TRUE,"【別紙1】標高（入力）"))</f>
        <v>-3.5999999999987153</v>
      </c>
      <c r="BE100" s="139" t="s">
        <v>1333</v>
      </c>
      <c r="BF100" s="121">
        <f ca="1">INDIRECT(ADDRESS(MATCH($B100,'【別紙1】標高（入力）'!$B:$B,0),'【別紙1】標高（入力）'!AF$2,4,TRUE,"【別紙1】標高（入力）"))</f>
        <v>5.2999999999983061</v>
      </c>
      <c r="BG100" s="125" t="str">
        <f ca="1">INDIRECT(ADDRESS(MATCH($B100,'【別紙1】標高（入力）'!$B:$B,0),'【別紙1】標高（入力）'!AG$2,4,TRUE,"【別紙1】標高（入力）"))</f>
        <v/>
      </c>
      <c r="BH100" s="122" t="str">
        <f ca="1">INDIRECT(ADDRESS(MATCH($B100,'【別紙1】標高（入力）'!$B:$B,0),'【別紙1】標高（入力）'!AH$2,4,TRUE,"【別紙1】標高（入力）"))</f>
        <v/>
      </c>
      <c r="BI100" s="624"/>
      <c r="BJ100" s="598" t="str">
        <f t="shared" ca="1" si="28"/>
        <v>-</v>
      </c>
      <c r="BK100" s="604">
        <f t="shared" ca="1" si="29"/>
        <v>43.099999999999589</v>
      </c>
      <c r="BL100" s="600" t="str">
        <f ca="1">INDIRECT(ADDRESS(MATCH($B100,'【別紙1】標高（入力）'!$B:$B,0),'【別紙1】標高（入力）'!$N$2,4,TRUE,"【別紙1】標高（入力）"))</f>
        <v>R2</v>
      </c>
      <c r="BM100" s="340">
        <f ca="1">INDIRECT(ADDRESS(MATCH($B100,'【別紙1】標高（入力）'!$B:$B,0),'【別紙1】標高（入力）'!$O$2,4,TRUE,"【別紙1】標高（入力）"))</f>
        <v>34.5901</v>
      </c>
      <c r="BN100" s="392"/>
    </row>
    <row r="101" spans="1:66" ht="15.95" customHeight="1">
      <c r="A101" s="119">
        <v>507</v>
      </c>
      <c r="B101" s="107" t="s">
        <v>1180</v>
      </c>
      <c r="C101" s="114" t="s">
        <v>156</v>
      </c>
      <c r="D101" s="110" t="s">
        <v>717</v>
      </c>
      <c r="E101" s="109" t="s">
        <v>170</v>
      </c>
      <c r="F101" s="111" t="s">
        <v>9</v>
      </c>
      <c r="G101" s="112" t="s">
        <v>127</v>
      </c>
      <c r="H101" s="112" t="s">
        <v>541</v>
      </c>
      <c r="I101" s="112" t="s">
        <v>141</v>
      </c>
      <c r="J101" s="112" t="s">
        <v>547</v>
      </c>
      <c r="K101" s="224"/>
      <c r="L101" s="228"/>
      <c r="M101" s="228"/>
      <c r="N101" s="228"/>
      <c r="O101" s="228"/>
      <c r="P101" s="228"/>
      <c r="Q101" s="221"/>
      <c r="R101" s="124">
        <v>0.5</v>
      </c>
      <c r="S101" s="136" t="s">
        <v>636</v>
      </c>
      <c r="T101" s="127">
        <v>6.9</v>
      </c>
      <c r="U101" s="136" t="s">
        <v>1275</v>
      </c>
      <c r="V101" s="122"/>
      <c r="W101" s="122"/>
      <c r="X101" s="122"/>
      <c r="Y101" s="122"/>
      <c r="Z101" s="122"/>
      <c r="AA101" s="122"/>
      <c r="AB101" s="127">
        <v>2.2999999999999998</v>
      </c>
      <c r="AC101" s="136" t="s">
        <v>679</v>
      </c>
      <c r="AD101" s="122"/>
      <c r="AE101" s="122"/>
      <c r="AF101" s="122"/>
      <c r="AG101" s="122"/>
      <c r="AH101" s="122">
        <v>-1.9</v>
      </c>
      <c r="AI101" s="139" t="s">
        <v>707</v>
      </c>
      <c r="AJ101" s="122"/>
      <c r="AK101" s="122"/>
      <c r="AL101" s="122"/>
      <c r="AM101" s="122"/>
      <c r="AN101" s="122"/>
      <c r="AO101" s="122"/>
      <c r="AP101" s="121">
        <v>13.6</v>
      </c>
      <c r="AQ101" s="135" t="s">
        <v>1072</v>
      </c>
      <c r="AR101" s="122"/>
      <c r="AS101" s="122"/>
      <c r="AT101" s="122"/>
      <c r="AU101" s="122"/>
      <c r="AV101" s="121">
        <v>-1.8</v>
      </c>
      <c r="AW101" s="139" t="s">
        <v>1072</v>
      </c>
      <c r="AX101" s="122"/>
      <c r="AY101" s="122"/>
      <c r="AZ101" s="122"/>
      <c r="BA101" s="460"/>
      <c r="BB101" s="121">
        <v>2.4</v>
      </c>
      <c r="BC101" s="139" t="s">
        <v>1070</v>
      </c>
      <c r="BD101" s="122" t="str">
        <f ca="1">INDIRECT(ADDRESS(MATCH($B101,'【別紙1】標高（入力）'!$B:$B,0),'【別紙1】標高（入力）'!AD$2,4,TRUE,"【別紙1】標高（入力）"))</f>
        <v/>
      </c>
      <c r="BE101" s="122" t="str">
        <f ca="1">INDIRECT(ADDRESS(MATCH($B101,'【別紙1】標高（入力）'!$B:$B,0),'【別紙1】標高（入力）'!AE$2,4,TRUE,"【別紙1】標高（入力）"))</f>
        <v/>
      </c>
      <c r="BF101" s="122" t="str">
        <f ca="1">INDIRECT(ADDRESS(MATCH($B101,'【別紙1】標高（入力）'!$B:$B,0),'【別紙1】標高（入力）'!AF$2,4,TRUE,"【別紙1】標高（入力）"))</f>
        <v/>
      </c>
      <c r="BG101" s="121">
        <f ca="1">INDIRECT(ADDRESS(MATCH($B101,'【別紙1】標高（入力）'!$B:$B,0),'【別紙1】標高（入力）'!AG$2,4,TRUE,"【別紙1】標高（入力）"))</f>
        <v>2.899999999996794</v>
      </c>
      <c r="BH101" s="125" t="str">
        <f ca="1">INDIRECT(ADDRESS(MATCH($B101,'【別紙1】標高（入力）'!$B:$B,0),'【別紙1】標高（入力）'!AH$2,4,TRUE,"【別紙1】標高（入力）"))</f>
        <v/>
      </c>
      <c r="BI101" s="624"/>
      <c r="BJ101" s="598" t="str">
        <f t="shared" ca="1" si="28"/>
        <v>-</v>
      </c>
      <c r="BK101" s="604">
        <f t="shared" ca="1" si="29"/>
        <v>24.89999999999679</v>
      </c>
      <c r="BL101" s="600" t="str">
        <f ca="1">INDIRECT(ADDRESS(MATCH($B101,'【別紙1】標高（入力）'!$B:$B,0),'【別紙1】標高（入力）'!$N$2,4,TRUE,"【別紙1】標高（入力）"))</f>
        <v>R3</v>
      </c>
      <c r="BM101" s="340">
        <f ca="1">INDIRECT(ADDRESS(MATCH($B101,'【別紙1】標高（入力）'!$B:$B,0),'【別紙1】標高（入力）'!$O$2,4,TRUE,"【別紙1】標高（入力）"))</f>
        <v>106.8322</v>
      </c>
      <c r="BN101" s="392"/>
    </row>
    <row r="102" spans="1:66" ht="15.95" customHeight="1">
      <c r="A102" s="119">
        <v>508</v>
      </c>
      <c r="B102" s="107" t="s">
        <v>490</v>
      </c>
      <c r="C102" s="114" t="s">
        <v>156</v>
      </c>
      <c r="D102" s="110" t="s">
        <v>687</v>
      </c>
      <c r="E102" s="109" t="s">
        <v>172</v>
      </c>
      <c r="F102" s="111" t="s">
        <v>9</v>
      </c>
      <c r="G102" s="112" t="s">
        <v>127</v>
      </c>
      <c r="H102" s="112" t="s">
        <v>541</v>
      </c>
      <c r="I102" s="112" t="s">
        <v>141</v>
      </c>
      <c r="J102" s="112" t="s">
        <v>547</v>
      </c>
      <c r="K102" s="224"/>
      <c r="L102" s="228"/>
      <c r="M102" s="228"/>
      <c r="N102" s="228"/>
      <c r="O102" s="228"/>
      <c r="P102" s="228"/>
      <c r="Q102" s="221"/>
      <c r="R102" s="124">
        <v>3.3</v>
      </c>
      <c r="S102" s="136" t="s">
        <v>636</v>
      </c>
      <c r="T102" s="127">
        <v>2</v>
      </c>
      <c r="U102" s="136" t="s">
        <v>1275</v>
      </c>
      <c r="V102" s="122"/>
      <c r="W102" s="122"/>
      <c r="X102" s="122"/>
      <c r="Y102" s="122"/>
      <c r="Z102" s="122"/>
      <c r="AA102" s="122"/>
      <c r="AB102" s="127">
        <v>6.6</v>
      </c>
      <c r="AC102" s="136" t="s">
        <v>679</v>
      </c>
      <c r="AD102" s="122"/>
      <c r="AE102" s="122"/>
      <c r="AF102" s="122"/>
      <c r="AG102" s="122"/>
      <c r="AH102" s="122">
        <v>-0.5</v>
      </c>
      <c r="AI102" s="139" t="s">
        <v>707</v>
      </c>
      <c r="AJ102" s="122"/>
      <c r="AK102" s="122"/>
      <c r="AL102" s="122"/>
      <c r="AM102" s="122"/>
      <c r="AN102" s="122"/>
      <c r="AO102" s="122"/>
      <c r="AP102" s="121">
        <v>24.1</v>
      </c>
      <c r="AQ102" s="139" t="s">
        <v>1072</v>
      </c>
      <c r="AR102" s="122"/>
      <c r="AS102" s="122"/>
      <c r="AT102" s="122"/>
      <c r="AU102" s="122"/>
      <c r="AV102" s="121">
        <v>-7.8</v>
      </c>
      <c r="AW102" s="139" t="s">
        <v>1070</v>
      </c>
      <c r="AX102" s="122"/>
      <c r="AY102" s="122"/>
      <c r="AZ102" s="122"/>
      <c r="BA102" s="460">
        <v>2.8</v>
      </c>
      <c r="BB102" s="126">
        <v>0.3</v>
      </c>
      <c r="BC102" s="135" t="s">
        <v>1337</v>
      </c>
      <c r="BD102" s="122" t="str">
        <f ca="1">INDIRECT(ADDRESS(MATCH($B102,'【別紙1】標高（入力）'!$B:$B,0),'【別紙1】標高（入力）'!AD$2,4,TRUE,"【別紙1】標高（入力）"))</f>
        <v/>
      </c>
      <c r="BE102" s="122" t="str">
        <f ca="1">INDIRECT(ADDRESS(MATCH($B102,'【別紙1】標高（入力）'!$B:$B,0),'【別紙1】標高（入力）'!AE$2,4,TRUE,"【別紙1】標高（入力）"))</f>
        <v/>
      </c>
      <c r="BF102" s="121">
        <f ca="1">INDIRECT(ADDRESS(MATCH($B102,'【別紙1】標高（入力）'!$B:$B,0),'【別紙1】標高（入力）'!AF$2,4,TRUE,"【別紙1】標高（入力）"))</f>
        <v>0.59999999999149622</v>
      </c>
      <c r="BG102" s="121">
        <f ca="1">INDIRECT(ADDRESS(MATCH($B102,'【別紙1】標高（入力）'!$B:$B,0),'【別紙1】標高（入力）'!AG$2,4,TRUE,"【別紙1】標高（入力）"))</f>
        <v>1.0000000000047748</v>
      </c>
      <c r="BH102" s="126">
        <f ca="1">INDIRECT(ADDRESS(MATCH($B102,'【別紙1】標高（入力）'!$B:$B,0),'【別紙1】標高（入力）'!AH$2,4,TRUE,"【別紙1】標高（入力）"))</f>
        <v>2.3000000000052978</v>
      </c>
      <c r="BI102" s="624"/>
      <c r="BJ102" s="598" t="str">
        <f t="shared" ca="1" si="28"/>
        <v>-</v>
      </c>
      <c r="BK102" s="604">
        <f t="shared" ca="1" si="29"/>
        <v>34.700000000001566</v>
      </c>
      <c r="BL102" s="600" t="str">
        <f ca="1">INDIRECT(ADDRESS(MATCH($B102,'【別紙1】標高（入力）'!$B:$B,0),'【別紙1】標高（入力）'!$N$2,4,TRUE,"【別紙1】標高（入力）"))</f>
        <v>R4</v>
      </c>
      <c r="BM102" s="340">
        <f ca="1">INDIRECT(ADDRESS(MATCH($B102,'【別紙1】標高（入力）'!$B:$B,0),'【別紙1】標高（入力）'!$O$2,4,TRUE,"【別紙1】標高（入力）"))</f>
        <v>82.771199999999993</v>
      </c>
      <c r="BN102" s="392"/>
    </row>
    <row r="103" spans="1:66" s="231" customFormat="1" ht="15.95" customHeight="1">
      <c r="A103" s="214">
        <v>601</v>
      </c>
      <c r="B103" s="215" t="s">
        <v>491</v>
      </c>
      <c r="C103" s="216" t="s">
        <v>180</v>
      </c>
      <c r="D103" s="217" t="s">
        <v>640</v>
      </c>
      <c r="E103" s="218" t="s">
        <v>181</v>
      </c>
      <c r="F103" s="219" t="s">
        <v>9</v>
      </c>
      <c r="G103" s="220" t="s">
        <v>127</v>
      </c>
      <c r="H103" s="220" t="s">
        <v>541</v>
      </c>
      <c r="I103" s="220" t="s">
        <v>141</v>
      </c>
      <c r="J103" s="220" t="s">
        <v>547</v>
      </c>
      <c r="K103" s="224"/>
      <c r="L103" s="228"/>
      <c r="M103" s="228"/>
      <c r="N103" s="228"/>
      <c r="O103" s="228"/>
      <c r="P103" s="228"/>
      <c r="Q103" s="221"/>
      <c r="R103" s="124">
        <v>1.5</v>
      </c>
      <c r="S103" s="136" t="s">
        <v>636</v>
      </c>
      <c r="T103" s="127">
        <v>-0.2</v>
      </c>
      <c r="U103" s="136" t="s">
        <v>1275</v>
      </c>
      <c r="V103" s="122"/>
      <c r="W103" s="122"/>
      <c r="X103" s="122"/>
      <c r="Y103" s="122"/>
      <c r="Z103" s="122"/>
      <c r="AA103" s="122"/>
      <c r="AB103" s="127">
        <v>4</v>
      </c>
      <c r="AC103" s="233" t="s">
        <v>1272</v>
      </c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462"/>
      <c r="BB103" s="228"/>
      <c r="BC103" s="228"/>
      <c r="BD103" s="228"/>
      <c r="BE103" s="228"/>
      <c r="BF103" s="228"/>
      <c r="BG103" s="228"/>
      <c r="BH103" s="625"/>
      <c r="BI103" s="570"/>
      <c r="BJ103" s="599" t="str">
        <f t="shared" si="22"/>
        <v>-</v>
      </c>
      <c r="BK103" s="605">
        <f t="shared" si="23"/>
        <v>5.3</v>
      </c>
      <c r="BL103" s="603" t="s">
        <v>1188</v>
      </c>
      <c r="BM103" s="344" t="s">
        <v>1189</v>
      </c>
      <c r="BN103" s="393" t="s">
        <v>727</v>
      </c>
    </row>
    <row r="104" spans="1:66" ht="15.95" customHeight="1">
      <c r="A104" s="119">
        <v>602</v>
      </c>
      <c r="B104" s="591">
        <v>7285</v>
      </c>
      <c r="C104" s="114" t="s">
        <v>180</v>
      </c>
      <c r="D104" s="110" t="s">
        <v>647</v>
      </c>
      <c r="E104" s="597" t="s">
        <v>1429</v>
      </c>
      <c r="F104" s="111" t="s">
        <v>12</v>
      </c>
      <c r="G104" s="112" t="s">
        <v>31</v>
      </c>
      <c r="H104" s="112" t="s">
        <v>541</v>
      </c>
      <c r="I104" s="112" t="s">
        <v>315</v>
      </c>
      <c r="J104" s="112" t="s">
        <v>263</v>
      </c>
      <c r="K104" s="224"/>
      <c r="L104" s="228"/>
      <c r="M104" s="228"/>
      <c r="N104" s="228"/>
      <c r="O104" s="228"/>
      <c r="P104" s="221"/>
      <c r="Q104" s="124">
        <v>6.4</v>
      </c>
      <c r="R104" s="124">
        <v>0.4</v>
      </c>
      <c r="S104" s="136" t="s">
        <v>636</v>
      </c>
      <c r="T104" s="127">
        <v>0.7</v>
      </c>
      <c r="U104" s="136" t="s">
        <v>1275</v>
      </c>
      <c r="V104" s="122"/>
      <c r="W104" s="122"/>
      <c r="X104" s="122"/>
      <c r="Y104" s="122"/>
      <c r="Z104" s="122"/>
      <c r="AA104" s="122"/>
      <c r="AB104" s="127">
        <v>0</v>
      </c>
      <c r="AC104" s="136" t="s">
        <v>679</v>
      </c>
      <c r="AD104" s="122"/>
      <c r="AE104" s="122"/>
      <c r="AF104" s="122"/>
      <c r="AG104" s="122"/>
      <c r="AH104" s="122">
        <v>2.2000000000000002</v>
      </c>
      <c r="AI104" s="139" t="s">
        <v>707</v>
      </c>
      <c r="AJ104" s="122"/>
      <c r="AK104" s="122"/>
      <c r="AL104" s="122"/>
      <c r="AM104" s="122"/>
      <c r="AN104" s="122"/>
      <c r="AO104" s="122"/>
      <c r="AP104" s="121">
        <v>11.5</v>
      </c>
      <c r="AQ104" s="135" t="s">
        <v>1072</v>
      </c>
      <c r="AR104" s="122"/>
      <c r="AS104" s="122"/>
      <c r="AT104" s="122"/>
      <c r="AU104" s="122"/>
      <c r="AV104" s="121">
        <v>-2.4</v>
      </c>
      <c r="AW104" s="139" t="s">
        <v>1072</v>
      </c>
      <c r="AX104" s="122"/>
      <c r="AY104" s="122"/>
      <c r="AZ104" s="122"/>
      <c r="BA104" s="460"/>
      <c r="BB104" s="121">
        <v>1.3</v>
      </c>
      <c r="BC104" s="139" t="s">
        <v>1070</v>
      </c>
      <c r="BD104" s="122" t="str">
        <f ca="1">INDIRECT(ADDRESS(MATCH($B104,'【別紙1】標高（入力）'!$B:$B,0),'【別紙1】標高（入力）'!AD$2,4,TRUE,"【別紙1】標高（入力）"))</f>
        <v/>
      </c>
      <c r="BE104" s="122" t="str">
        <f ca="1">INDIRECT(ADDRESS(MATCH($B104,'【別紙1】標高（入力）'!$B:$B,0),'【別紙1】標高（入力）'!AE$2,4,TRUE,"【別紙1】標高（入力）"))</f>
        <v/>
      </c>
      <c r="BF104" s="122" t="str">
        <f ca="1">INDIRECT(ADDRESS(MATCH($B104,'【別紙1】標高（入力）'!$B:$B,0),'【別紙1】標高（入力）'!AF$2,4,TRUE,"【別紙1】標高（入力）"))</f>
        <v/>
      </c>
      <c r="BG104" s="121">
        <f ca="1">INDIRECT(ADDRESS(MATCH($B104,'【別紙1】標高（入力）'!$B:$B,0),'【別紙1】標高（入力）'!AG$2,4,TRUE,"【別紙1】標高（入力）"))</f>
        <v>0.50000000000238742</v>
      </c>
      <c r="BH104" s="125" t="str">
        <f ca="1">INDIRECT(ADDRESS(MATCH($B104,'【別紙1】標高（入力）'!$B:$B,0),'【別紙1】標高（入力）'!AH$2,4,TRUE,"【別紙1】標高（入力）"))</f>
        <v/>
      </c>
      <c r="BI104" s="624"/>
      <c r="BJ104" s="598" t="str">
        <f t="shared" ref="BJ104:BJ107" ca="1" si="30">IF(AND(ISNUMBER(BI104)*1,ISNUMBER(BH104)*1),BI104,"-")</f>
        <v>-</v>
      </c>
      <c r="BK104" s="604">
        <f t="shared" ref="BK104:BK107" ca="1" si="31">SUM(K104:BI104)</f>
        <v>20.600000000002392</v>
      </c>
      <c r="BL104" s="600" t="str">
        <f ca="1">INDIRECT(ADDRESS(MATCH($B104,'【別紙1】標高（入力）'!$B:$B,0),'【別紙1】標高（入力）'!$N$2,4,TRUE,"【別紙1】標高（入力）"))</f>
        <v>R3</v>
      </c>
      <c r="BM104" s="340">
        <f ca="1">INDIRECT(ADDRESS(MATCH($B104,'【別紙1】標高（入力）'!$B:$B,0),'【別紙1】標高（入力）'!$O$2,4,TRUE,"【別紙1】標高（入力）"))</f>
        <v>94.852800000000002</v>
      </c>
      <c r="BN104" s="392"/>
    </row>
    <row r="105" spans="1:66" ht="15.95" customHeight="1">
      <c r="A105" s="119">
        <v>603</v>
      </c>
      <c r="B105" s="591">
        <v>7286</v>
      </c>
      <c r="C105" s="114" t="s">
        <v>180</v>
      </c>
      <c r="D105" s="110" t="s">
        <v>340</v>
      </c>
      <c r="E105" s="109" t="s">
        <v>185</v>
      </c>
      <c r="F105" s="111" t="s">
        <v>12</v>
      </c>
      <c r="G105" s="112" t="s">
        <v>31</v>
      </c>
      <c r="H105" s="112" t="s">
        <v>541</v>
      </c>
      <c r="I105" s="112" t="s">
        <v>312</v>
      </c>
      <c r="J105" s="112" t="s">
        <v>263</v>
      </c>
      <c r="K105" s="224"/>
      <c r="L105" s="228"/>
      <c r="M105" s="228"/>
      <c r="N105" s="228"/>
      <c r="O105" s="228"/>
      <c r="P105" s="221"/>
      <c r="Q105" s="124">
        <v>6</v>
      </c>
      <c r="R105" s="124">
        <v>-2.7</v>
      </c>
      <c r="S105" s="136" t="s">
        <v>636</v>
      </c>
      <c r="T105" s="127">
        <v>-0.4</v>
      </c>
      <c r="U105" s="136" t="s">
        <v>1275</v>
      </c>
      <c r="V105" s="122"/>
      <c r="W105" s="122"/>
      <c r="X105" s="122"/>
      <c r="Y105" s="122"/>
      <c r="Z105" s="122"/>
      <c r="AA105" s="122"/>
      <c r="AB105" s="127">
        <v>1.4</v>
      </c>
      <c r="AC105" s="136" t="s">
        <v>679</v>
      </c>
      <c r="AD105" s="122"/>
      <c r="AE105" s="122"/>
      <c r="AF105" s="122"/>
      <c r="AG105" s="122"/>
      <c r="AH105" s="122">
        <v>0.1</v>
      </c>
      <c r="AI105" s="139" t="s">
        <v>707</v>
      </c>
      <c r="AJ105" s="122"/>
      <c r="AK105" s="122"/>
      <c r="AL105" s="122"/>
      <c r="AM105" s="122"/>
      <c r="AN105" s="122"/>
      <c r="AO105" s="122"/>
      <c r="AP105" s="121">
        <v>11.3</v>
      </c>
      <c r="AQ105" s="135" t="s">
        <v>1072</v>
      </c>
      <c r="AR105" s="122"/>
      <c r="AS105" s="122"/>
      <c r="AT105" s="122"/>
      <c r="AU105" s="122"/>
      <c r="AV105" s="121">
        <v>-3</v>
      </c>
      <c r="AW105" s="139" t="s">
        <v>1072</v>
      </c>
      <c r="AX105" s="122"/>
      <c r="AY105" s="122"/>
      <c r="AZ105" s="122"/>
      <c r="BA105" s="460"/>
      <c r="BB105" s="121">
        <v>1.6</v>
      </c>
      <c r="BC105" s="139" t="s">
        <v>1070</v>
      </c>
      <c r="BD105" s="122" t="str">
        <f ca="1">INDIRECT(ADDRESS(MATCH($B105,'【別紙1】標高（入力）'!$B:$B,0),'【別紙1】標高（入力）'!AD$2,4,TRUE,"【別紙1】標高（入力）"))</f>
        <v/>
      </c>
      <c r="BE105" s="122" t="str">
        <f ca="1">INDIRECT(ADDRESS(MATCH($B105,'【別紙1】標高（入力）'!$B:$B,0),'【別紙1】標高（入力）'!AE$2,4,TRUE,"【別紙1】標高（入力）"))</f>
        <v/>
      </c>
      <c r="BF105" s="122" t="str">
        <f ca="1">INDIRECT(ADDRESS(MATCH($B105,'【別紙1】標高（入力）'!$B:$B,0),'【別紙1】標高（入力）'!AF$2,4,TRUE,"【別紙1】標高（入力）"))</f>
        <v/>
      </c>
      <c r="BG105" s="121">
        <f ca="1">INDIRECT(ADDRESS(MATCH($B105,'【別紙1】標高（入力）'!$B:$B,0),'【別紙1】標高（入力）'!AG$2,4,TRUE,"【別紙1】標高（入力）"))</f>
        <v>1.300000000000523</v>
      </c>
      <c r="BH105" s="125" t="str">
        <f ca="1">INDIRECT(ADDRESS(MATCH($B105,'【別紙1】標高（入力）'!$B:$B,0),'【別紙1】標高（入力）'!AH$2,4,TRUE,"【別紙1】標高（入力）"))</f>
        <v/>
      </c>
      <c r="BI105" s="567"/>
      <c r="BJ105" s="598" t="str">
        <f t="shared" ca="1" si="30"/>
        <v>-</v>
      </c>
      <c r="BK105" s="604">
        <f t="shared" ca="1" si="31"/>
        <v>15.600000000000522</v>
      </c>
      <c r="BL105" s="600" t="str">
        <f ca="1">INDIRECT(ADDRESS(MATCH($B105,'【別紙1】標高（入力）'!$B:$B,0),'【別紙1】標高（入力）'!$N$2,4,TRUE,"【別紙1】標高（入力）"))</f>
        <v>R3</v>
      </c>
      <c r="BM105" s="340">
        <f ca="1">INDIRECT(ADDRESS(MATCH($B105,'【別紙1】標高（入力）'!$B:$B,0),'【別紙1】標高（入力）'!$O$2,4,TRUE,"【別紙1】標高（入力）"))</f>
        <v>75.858500000000006</v>
      </c>
      <c r="BN105" s="392"/>
    </row>
    <row r="106" spans="1:66" ht="15.95" customHeight="1">
      <c r="A106" s="119">
        <v>701</v>
      </c>
      <c r="B106" s="107" t="s">
        <v>366</v>
      </c>
      <c r="C106" s="114" t="s">
        <v>186</v>
      </c>
      <c r="D106" s="110" t="s">
        <v>701</v>
      </c>
      <c r="E106" s="109" t="s">
        <v>187</v>
      </c>
      <c r="F106" s="111" t="s">
        <v>9</v>
      </c>
      <c r="G106" s="112" t="s">
        <v>19</v>
      </c>
      <c r="H106" s="112" t="s">
        <v>541</v>
      </c>
      <c r="I106" s="112" t="s">
        <v>312</v>
      </c>
      <c r="J106" s="112" t="s">
        <v>263</v>
      </c>
      <c r="K106" s="222"/>
      <c r="L106" s="124">
        <v>11</v>
      </c>
      <c r="M106" s="124">
        <v>8.5</v>
      </c>
      <c r="N106" s="124">
        <v>3.9</v>
      </c>
      <c r="O106" s="136" t="s">
        <v>636</v>
      </c>
      <c r="P106" s="127">
        <v>18</v>
      </c>
      <c r="Q106" s="124">
        <v>10.1</v>
      </c>
      <c r="R106" s="124">
        <v>7.9</v>
      </c>
      <c r="S106" s="124">
        <v>-5.9</v>
      </c>
      <c r="T106" s="124">
        <v>6.6</v>
      </c>
      <c r="U106" s="124">
        <v>4.4000000000000004</v>
      </c>
      <c r="V106" s="124">
        <v>2.4</v>
      </c>
      <c r="W106" s="124">
        <v>5</v>
      </c>
      <c r="X106" s="124">
        <v>1.5</v>
      </c>
      <c r="Y106" s="124">
        <v>-4.8</v>
      </c>
      <c r="Z106" s="124">
        <v>6.4</v>
      </c>
      <c r="AA106" s="124">
        <v>4.3</v>
      </c>
      <c r="AB106" s="124">
        <v>1.6</v>
      </c>
      <c r="AC106" s="124">
        <v>5.7</v>
      </c>
      <c r="AD106" s="124">
        <v>0.7</v>
      </c>
      <c r="AE106" s="124">
        <v>-3.4</v>
      </c>
      <c r="AF106" s="124">
        <v>2.8</v>
      </c>
      <c r="AG106" s="124">
        <v>4.5999999999999996</v>
      </c>
      <c r="AH106" s="123">
        <v>13</v>
      </c>
      <c r="AI106" s="396">
        <v>9</v>
      </c>
      <c r="AJ106" s="124">
        <v>-4.4000000000000004</v>
      </c>
      <c r="AK106" s="124">
        <v>2</v>
      </c>
      <c r="AL106" s="123">
        <v>-0.4</v>
      </c>
      <c r="AM106" s="123">
        <v>3.70000000000026</v>
      </c>
      <c r="AN106" s="128">
        <v>-3.2</v>
      </c>
      <c r="AO106" s="139" t="s">
        <v>637</v>
      </c>
      <c r="AP106" s="121">
        <v>9.1</v>
      </c>
      <c r="AQ106" s="122">
        <v>1.2</v>
      </c>
      <c r="AR106" s="125">
        <v>3.9</v>
      </c>
      <c r="AS106" s="125">
        <v>1.8</v>
      </c>
      <c r="AT106" s="125">
        <v>3.6</v>
      </c>
      <c r="AU106" s="126">
        <v>-0.1</v>
      </c>
      <c r="AV106" s="121">
        <v>-2.1</v>
      </c>
      <c r="AW106" s="122">
        <v>-1.9</v>
      </c>
      <c r="AX106" s="125">
        <v>1.8</v>
      </c>
      <c r="AY106" s="125">
        <v>0.3</v>
      </c>
      <c r="AZ106" s="132">
        <v>0</v>
      </c>
      <c r="BA106" s="464">
        <v>-1.7</v>
      </c>
      <c r="BB106" s="139" t="s">
        <v>1069</v>
      </c>
      <c r="BC106" s="134">
        <v>0.3</v>
      </c>
      <c r="BD106" s="133">
        <f ca="1">INDIRECT(ADDRESS(MATCH($B106,'【別紙1】標高（入力）'!$B:$B,0),'【別紙1】標高（入力）'!AD$2,4,TRUE,"【別紙1】標高（入力）"))</f>
        <v>-0.29999999999930083</v>
      </c>
      <c r="BE106" s="132">
        <f ca="1">INDIRECT(ADDRESS(MATCH($B106,'【別紙1】標高（入力）'!$B:$B,0),'【別紙1】標高（入力）'!AE$2,4,TRUE,"【別紙1】標高（入力）"))</f>
        <v>3.1999999999996476</v>
      </c>
      <c r="BF106" s="479">
        <f ca="1">INDIRECT(ADDRESS(MATCH($B106,'【別紙1】標高（入力）'!$B:$B,0),'【別紙1】標高（入力）'!AF$2,4,TRUE,"【別紙1】標高（入力）"))</f>
        <v>-1.900000000000901</v>
      </c>
      <c r="BG106" s="139" t="s">
        <v>1384</v>
      </c>
      <c r="BH106" s="479">
        <f ca="1">INDIRECT(ADDRESS(MATCH($B106,'【別紙1】標高（入力）'!$B:$B,0),'【別紙1】標高（入力）'!AH$2,4,TRUE,"【別紙1】標高（入力）"))</f>
        <v>2.9000000000003467</v>
      </c>
      <c r="BI106" s="631">
        <f ca="1">INDIRECT(ADDRESS(MATCH($B106,'【別紙1】標高（入力）'!$B:$B,0),'【別紙1】標高（入力）'!AI$2,4,TRUE,"【別紙1】標高（入力）"))</f>
        <v>2.2999999999999687</v>
      </c>
      <c r="BJ106" s="598">
        <f t="shared" ca="1" si="30"/>
        <v>2.2999999999999687</v>
      </c>
      <c r="BK106" s="604">
        <f t="shared" ca="1" si="31"/>
        <v>133.40000000000003</v>
      </c>
      <c r="BL106" s="600" t="str">
        <f ca="1">INDIRECT(ADDRESS(MATCH($B106,'【別紙1】標高（入力）'!$B:$B,0),'【別紙1】標高（入力）'!$N$2,4,TRUE,"【別紙1】標高（入力）"))</f>
        <v>R5</v>
      </c>
      <c r="BM106" s="342">
        <f ca="1">INDIRECT(ADDRESS(MATCH($B106,'【別紙1】標高（入力）'!$B:$B,0),'【別紙1】標高（入力）'!$O$2,4,TRUE,"【別紙1】標高（入力）"))</f>
        <v>10.551</v>
      </c>
      <c r="BN106" s="392"/>
    </row>
    <row r="107" spans="1:66" ht="15.95" customHeight="1">
      <c r="A107" s="119">
        <v>702</v>
      </c>
      <c r="B107" s="107" t="s">
        <v>364</v>
      </c>
      <c r="C107" s="114" t="s">
        <v>186</v>
      </c>
      <c r="D107" s="110" t="s">
        <v>561</v>
      </c>
      <c r="E107" s="109" t="s">
        <v>1430</v>
      </c>
      <c r="F107" s="111" t="s">
        <v>9</v>
      </c>
      <c r="G107" s="112" t="s">
        <v>19</v>
      </c>
      <c r="H107" s="112" t="s">
        <v>541</v>
      </c>
      <c r="I107" s="112" t="s">
        <v>54</v>
      </c>
      <c r="J107" s="112" t="s">
        <v>264</v>
      </c>
      <c r="K107" s="222"/>
      <c r="L107" s="124">
        <v>6.5</v>
      </c>
      <c r="M107" s="124">
        <v>5.6</v>
      </c>
      <c r="N107" s="124">
        <v>1.6</v>
      </c>
      <c r="O107" s="136" t="s">
        <v>636</v>
      </c>
      <c r="P107" s="127">
        <v>27.6</v>
      </c>
      <c r="Q107" s="124">
        <v>8</v>
      </c>
      <c r="R107" s="124">
        <v>5.8</v>
      </c>
      <c r="S107" s="124">
        <v>-9.6</v>
      </c>
      <c r="T107" s="124">
        <v>11.1</v>
      </c>
      <c r="U107" s="124">
        <v>5</v>
      </c>
      <c r="V107" s="124">
        <v>10.1</v>
      </c>
      <c r="W107" s="124">
        <v>4.3</v>
      </c>
      <c r="X107" s="124">
        <v>2.4</v>
      </c>
      <c r="Y107" s="124">
        <v>-3.9</v>
      </c>
      <c r="Z107" s="124">
        <v>4.7</v>
      </c>
      <c r="AA107" s="124">
        <v>6.2</v>
      </c>
      <c r="AB107" s="124">
        <v>-3.7</v>
      </c>
      <c r="AC107" s="124">
        <v>8.9</v>
      </c>
      <c r="AD107" s="124">
        <v>-1.3</v>
      </c>
      <c r="AE107" s="124">
        <v>-1.5</v>
      </c>
      <c r="AF107" s="124">
        <v>2</v>
      </c>
      <c r="AG107" s="124">
        <v>4.0999999999999996</v>
      </c>
      <c r="AH107" s="123">
        <v>1.8</v>
      </c>
      <c r="AI107" s="396">
        <v>5.7</v>
      </c>
      <c r="AJ107" s="124">
        <v>5.7</v>
      </c>
      <c r="AK107" s="124">
        <v>10.4</v>
      </c>
      <c r="AL107" s="123">
        <v>0.6</v>
      </c>
      <c r="AM107" s="123">
        <v>3.9999999999995599</v>
      </c>
      <c r="AN107" s="128">
        <v>-3.7</v>
      </c>
      <c r="AO107" s="122">
        <v>4</v>
      </c>
      <c r="AP107" s="126">
        <v>9.6</v>
      </c>
      <c r="AQ107" s="122">
        <v>2</v>
      </c>
      <c r="AR107" s="125">
        <v>6.9</v>
      </c>
      <c r="AS107" s="125">
        <v>-1.2</v>
      </c>
      <c r="AT107" s="125">
        <v>3.5</v>
      </c>
      <c r="AU107" s="126">
        <v>-0.1</v>
      </c>
      <c r="AV107" s="121">
        <v>-2.2000000000000002</v>
      </c>
      <c r="AW107" s="125">
        <v>1</v>
      </c>
      <c r="AX107" s="125">
        <v>2.5</v>
      </c>
      <c r="AY107" s="125">
        <v>-0.9</v>
      </c>
      <c r="AZ107" s="132">
        <v>2.2000000000000002</v>
      </c>
      <c r="BA107" s="464">
        <v>-4.9000000000000004</v>
      </c>
      <c r="BB107" s="132">
        <v>0.4</v>
      </c>
      <c r="BC107" s="134">
        <v>0.2</v>
      </c>
      <c r="BD107" s="133">
        <f ca="1">INDIRECT(ADDRESS(MATCH($B107,'【別紙1】標高（入力）'!$B:$B,0),'【別紙1】標高（入力）'!AD$2,4,TRUE,"【別紙1】標高（入力）"))</f>
        <v>-0.39999999999995595</v>
      </c>
      <c r="BE107" s="132">
        <f ca="1">INDIRECT(ADDRESS(MATCH($B107,'【別紙1】標高（入力）'!$B:$B,0),'【別紙1】標高（入力）'!AE$2,4,TRUE,"【別紙1】標高（入力）"))</f>
        <v>0.19999999999953388</v>
      </c>
      <c r="BF107" s="479">
        <f ca="1">INDIRECT(ADDRESS(MATCH($B107,'【別紙1】標高（入力）'!$B:$B,0),'【別紙1】標高（入力）'!AF$2,4,TRUE,"【別紙1】標高（入力）"))</f>
        <v>0.39999999999995595</v>
      </c>
      <c r="BG107" s="479">
        <f ca="1">INDIRECT(ADDRESS(MATCH($B107,'【別紙1】標高（入力）'!$B:$B,0),'【別紙1】標高（入力）'!AG$2,4,TRUE,"【別紙1】標高（入力）"))</f>
        <v>5.3999999999998494</v>
      </c>
      <c r="BH107" s="132">
        <f ca="1">INDIRECT(ADDRESS(MATCH($B107,'【別紙1】標高（入力）'!$B:$B,0),'【別紙1】標高（入力）'!AH$2,4,TRUE,"【別紙1】標高（入力）"))</f>
        <v>-1.2999999999996348</v>
      </c>
      <c r="BI107" s="631">
        <f ca="1">INDIRECT(ADDRESS(MATCH($B107,'【別紙1】標高（入力）'!$B:$B,0),'【別紙1】標高（入力）'!AI$2,4,TRUE,"【別紙1】標高（入力）"))</f>
        <v>2.9000000000003467</v>
      </c>
      <c r="BJ107" s="598">
        <f t="shared" ca="1" si="30"/>
        <v>2.9000000000003467</v>
      </c>
      <c r="BK107" s="604">
        <f t="shared" ca="1" si="31"/>
        <v>148.59999999999962</v>
      </c>
      <c r="BL107" s="600" t="str">
        <f ca="1">INDIRECT(ADDRESS(MATCH($B107,'【別紙1】標高（入力）'!$B:$B,0),'【別紙1】標高（入力）'!$N$2,4,TRUE,"【別紙1】標高（入力）"))</f>
        <v>R5</v>
      </c>
      <c r="BM107" s="342">
        <f ca="1">INDIRECT(ADDRESS(MATCH($B107,'【別紙1】標高（入力）'!$B:$B,0),'【別紙1】標高（入力）'!$O$2,4,TRUE,"【別紙1】標高（入力）"))</f>
        <v>6.31</v>
      </c>
      <c r="BN107" s="392" t="s">
        <v>283</v>
      </c>
    </row>
    <row r="108" spans="1:66" s="231" customFormat="1" ht="15.95" customHeight="1">
      <c r="A108" s="214">
        <v>703</v>
      </c>
      <c r="B108" s="595">
        <v>7406</v>
      </c>
      <c r="C108" s="216" t="s">
        <v>186</v>
      </c>
      <c r="D108" s="217" t="s">
        <v>671</v>
      </c>
      <c r="E108" s="218" t="s">
        <v>299</v>
      </c>
      <c r="F108" s="219" t="s">
        <v>12</v>
      </c>
      <c r="G108" s="220" t="s">
        <v>19</v>
      </c>
      <c r="H108" s="220" t="s">
        <v>541</v>
      </c>
      <c r="I108" s="220" t="s">
        <v>539</v>
      </c>
      <c r="J108" s="220" t="s">
        <v>263</v>
      </c>
      <c r="K108" s="222"/>
      <c r="L108" s="124">
        <v>2.2000000000000002</v>
      </c>
      <c r="M108" s="124">
        <v>4</v>
      </c>
      <c r="N108" s="124">
        <v>-3.2</v>
      </c>
      <c r="O108" s="124">
        <v>6.6</v>
      </c>
      <c r="P108" s="124">
        <v>1.1000000000000001</v>
      </c>
      <c r="Q108" s="124">
        <v>0.9</v>
      </c>
      <c r="R108" s="124">
        <v>3</v>
      </c>
      <c r="S108" s="124">
        <v>-3.9</v>
      </c>
      <c r="T108" s="124">
        <v>2.5</v>
      </c>
      <c r="U108" s="124">
        <v>-0.5</v>
      </c>
      <c r="V108" s="124">
        <v>3.2</v>
      </c>
      <c r="W108" s="124">
        <v>1.2</v>
      </c>
      <c r="X108" s="124">
        <v>0</v>
      </c>
      <c r="Y108" s="124">
        <v>-4.5999999999999996</v>
      </c>
      <c r="Z108" s="124">
        <v>5.2</v>
      </c>
      <c r="AA108" s="124">
        <v>1.7</v>
      </c>
      <c r="AB108" s="124">
        <v>0</v>
      </c>
      <c r="AC108" s="124">
        <v>2.4</v>
      </c>
      <c r="AD108" s="124">
        <v>-1.2</v>
      </c>
      <c r="AE108" s="124">
        <v>-2.1</v>
      </c>
      <c r="AF108" s="124">
        <v>0.8</v>
      </c>
      <c r="AG108" s="124">
        <v>1.4</v>
      </c>
      <c r="AH108" s="123">
        <v>1.9</v>
      </c>
      <c r="AI108" s="227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462"/>
      <c r="BB108" s="228"/>
      <c r="BC108" s="228"/>
      <c r="BD108" s="228"/>
      <c r="BE108" s="228"/>
      <c r="BF108" s="228"/>
      <c r="BG108" s="229"/>
      <c r="BH108" s="639"/>
      <c r="BI108" s="625"/>
      <c r="BJ108" s="599" t="str">
        <f t="shared" si="22"/>
        <v>-</v>
      </c>
      <c r="BK108" s="605">
        <f t="shared" si="23"/>
        <v>22.599999999999994</v>
      </c>
      <c r="BL108" s="603" t="s">
        <v>1188</v>
      </c>
      <c r="BM108" s="344" t="s">
        <v>1189</v>
      </c>
      <c r="BN108" s="393" t="s">
        <v>728</v>
      </c>
    </row>
    <row r="109" spans="1:66" ht="15.95" customHeight="1">
      <c r="A109" s="119">
        <v>704</v>
      </c>
      <c r="B109" s="591">
        <v>7407</v>
      </c>
      <c r="C109" s="114" t="s">
        <v>186</v>
      </c>
      <c r="D109" s="110" t="s">
        <v>648</v>
      </c>
      <c r="E109" s="597" t="s">
        <v>1431</v>
      </c>
      <c r="F109" s="111" t="s">
        <v>12</v>
      </c>
      <c r="G109" s="112" t="s">
        <v>19</v>
      </c>
      <c r="H109" s="112" t="s">
        <v>541</v>
      </c>
      <c r="I109" s="112" t="s">
        <v>310</v>
      </c>
      <c r="J109" s="112" t="s">
        <v>263</v>
      </c>
      <c r="K109" s="222"/>
      <c r="L109" s="124">
        <v>9.9</v>
      </c>
      <c r="M109" s="124">
        <v>1.5</v>
      </c>
      <c r="N109" s="124">
        <v>-0.1</v>
      </c>
      <c r="O109" s="124">
        <v>0.8</v>
      </c>
      <c r="P109" s="124">
        <v>4.0999999999999996</v>
      </c>
      <c r="Q109" s="124">
        <v>0.8</v>
      </c>
      <c r="R109" s="124">
        <v>2.2999999999999998</v>
      </c>
      <c r="S109" s="124">
        <v>-3.7</v>
      </c>
      <c r="T109" s="124">
        <v>2.2999999999999998</v>
      </c>
      <c r="U109" s="124">
        <v>-0.2</v>
      </c>
      <c r="V109" s="124">
        <v>-0.3</v>
      </c>
      <c r="W109" s="124">
        <v>1.3</v>
      </c>
      <c r="X109" s="124">
        <v>1.2</v>
      </c>
      <c r="Y109" s="124">
        <v>-1.8</v>
      </c>
      <c r="Z109" s="124">
        <v>3.4</v>
      </c>
      <c r="AA109" s="124">
        <v>-1.7</v>
      </c>
      <c r="AB109" s="124">
        <v>0.8</v>
      </c>
      <c r="AC109" s="124">
        <v>1.5</v>
      </c>
      <c r="AD109" s="124">
        <v>-0.5</v>
      </c>
      <c r="AE109" s="124">
        <v>2</v>
      </c>
      <c r="AF109" s="124">
        <v>-0.1</v>
      </c>
      <c r="AG109" s="124">
        <v>0.3</v>
      </c>
      <c r="AH109" s="123">
        <v>2</v>
      </c>
      <c r="AI109" s="396">
        <v>2.5</v>
      </c>
      <c r="AJ109" s="124">
        <v>-2.5</v>
      </c>
      <c r="AK109" s="124">
        <v>2</v>
      </c>
      <c r="AL109" s="123">
        <v>-0.3</v>
      </c>
      <c r="AM109" s="123">
        <v>1.1999999999972</v>
      </c>
      <c r="AN109" s="128">
        <v>-1.1000000000000001</v>
      </c>
      <c r="AO109" s="122">
        <v>1.3</v>
      </c>
      <c r="AP109" s="126">
        <v>1.9</v>
      </c>
      <c r="AQ109" s="122">
        <v>1.6</v>
      </c>
      <c r="AR109" s="125">
        <v>1.9</v>
      </c>
      <c r="AS109" s="125">
        <v>-2.6</v>
      </c>
      <c r="AT109" s="125">
        <v>2.1</v>
      </c>
      <c r="AU109" s="126">
        <v>-2.8</v>
      </c>
      <c r="AV109" s="121">
        <v>0.2</v>
      </c>
      <c r="AW109" s="125">
        <v>-0.4</v>
      </c>
      <c r="AX109" s="125">
        <v>0.7</v>
      </c>
      <c r="AY109" s="125">
        <v>-1.2</v>
      </c>
      <c r="AZ109" s="132">
        <v>1.2</v>
      </c>
      <c r="BA109" s="464">
        <v>1</v>
      </c>
      <c r="BB109" s="132">
        <v>-0.5</v>
      </c>
      <c r="BC109" s="134">
        <v>0</v>
      </c>
      <c r="BD109" s="133">
        <f ca="1">INDIRECT(ADDRESS(MATCH($B109,'【別紙1】標高（入力）'!$B:$B,0),'【別紙1】標高（入力）'!AD$2,4,TRUE,"【別紙1】標高（入力）"))</f>
        <v>-0.39999999999906777</v>
      </c>
      <c r="BE109" s="132">
        <f ca="1">INDIRECT(ADDRESS(MATCH($B109,'【別紙1】標高（入力）'!$B:$B,0),'【別紙1】標高（入力）'!AE$2,4,TRUE,"【別紙1】標高（入力）"))</f>
        <v>0.89999999999434976</v>
      </c>
      <c r="BF109" s="479">
        <f ca="1">INDIRECT(ADDRESS(MATCH($B109,'【別紙1】標高（入力）'!$B:$B,0),'【別紙1】標高（入力）'!AF$2,4,TRUE,"【別紙1】標高（入力）"))</f>
        <v>0.30000000000285354</v>
      </c>
      <c r="BG109" s="479">
        <f ca="1">INDIRECT(ADDRESS(MATCH($B109,'【別紙1】標高（入力）'!$B:$B,0),'【別紙1】標高（入力）'!AG$2,4,TRUE,"【別紙1】標高（入力）"))</f>
        <v>-0.10000000000331966</v>
      </c>
      <c r="BH109" s="132">
        <f ca="1">INDIRECT(ADDRESS(MATCH($B109,'【別紙1】標高（入力）'!$B:$B,0),'【別紙1】標高（入力）'!AH$2,4,TRUE,"【別紙1】標高（入力）"))</f>
        <v>-0.499999999995282</v>
      </c>
      <c r="BI109" s="631">
        <f ca="1">INDIRECT(ADDRESS(MATCH($B109,'【別紙1】標高（入力）'!$B:$B,0),'【別紙1】標高（入力）'!AI$2,4,TRUE,"【別紙1】標高（入力）"))</f>
        <v>0.29999999999574811</v>
      </c>
      <c r="BJ109" s="598">
        <f t="shared" ref="BJ109:BJ145" ca="1" si="32">IF(AND(ISNUMBER(BI109)*1,ISNUMBER(BH109)*1),BI109,"-")</f>
        <v>0.29999999999574811</v>
      </c>
      <c r="BK109" s="604">
        <f t="shared" ref="BK109:BK115" ca="1" si="33">SUM(K109:BI109)</f>
        <v>32.499999999992482</v>
      </c>
      <c r="BL109" s="600" t="str">
        <f ca="1">INDIRECT(ADDRESS(MATCH($B109,'【別紙1】標高（入力）'!$B:$B,0),'【別紙1】標高（入力）'!$N$2,4,TRUE,"【別紙1】標高（入力）"))</f>
        <v>R5</v>
      </c>
      <c r="BM109" s="342">
        <f ca="1">INDIRECT(ADDRESS(MATCH($B109,'【別紙1】標高（入力）'!$B:$B,0),'【別紙1】標高（入力）'!$O$2,4,TRUE,"【別紙1】標高（入力）"))</f>
        <v>33.664900000000003</v>
      </c>
      <c r="BN109" s="392"/>
    </row>
    <row r="110" spans="1:66" ht="15.95" customHeight="1">
      <c r="A110" s="119">
        <v>705</v>
      </c>
      <c r="B110" s="107" t="s">
        <v>393</v>
      </c>
      <c r="C110" s="114" t="s">
        <v>186</v>
      </c>
      <c r="D110" s="110" t="s">
        <v>702</v>
      </c>
      <c r="E110" s="109" t="s">
        <v>190</v>
      </c>
      <c r="F110" s="111" t="s">
        <v>12</v>
      </c>
      <c r="G110" s="112" t="s">
        <v>19</v>
      </c>
      <c r="H110" s="112" t="s">
        <v>541</v>
      </c>
      <c r="I110" s="112" t="s">
        <v>308</v>
      </c>
      <c r="J110" s="112" t="s">
        <v>263</v>
      </c>
      <c r="K110" s="222"/>
      <c r="L110" s="124">
        <v>9.8000000000000007</v>
      </c>
      <c r="M110" s="124">
        <v>-2.2000000000000002</v>
      </c>
      <c r="N110" s="124">
        <v>-2.5</v>
      </c>
      <c r="O110" s="124">
        <v>-0.6</v>
      </c>
      <c r="P110" s="124">
        <v>5.4</v>
      </c>
      <c r="Q110" s="124">
        <v>1</v>
      </c>
      <c r="R110" s="124">
        <v>0.6</v>
      </c>
      <c r="S110" s="124">
        <v>-3.6</v>
      </c>
      <c r="T110" s="124">
        <v>3</v>
      </c>
      <c r="U110" s="124">
        <v>-1.7</v>
      </c>
      <c r="V110" s="124">
        <v>1.6</v>
      </c>
      <c r="W110" s="124">
        <v>3.3</v>
      </c>
      <c r="X110" s="124">
        <v>0.4</v>
      </c>
      <c r="Y110" s="124">
        <v>-1.6</v>
      </c>
      <c r="Z110" s="136" t="s">
        <v>1273</v>
      </c>
      <c r="AA110" s="122"/>
      <c r="AB110" s="127">
        <v>0.6</v>
      </c>
      <c r="AC110" s="124">
        <v>2.2000000000000002</v>
      </c>
      <c r="AD110" s="124">
        <v>-0.9</v>
      </c>
      <c r="AE110" s="124">
        <v>1.1000000000000001</v>
      </c>
      <c r="AF110" s="124">
        <v>0.3</v>
      </c>
      <c r="AG110" s="124">
        <v>0.9</v>
      </c>
      <c r="AH110" s="123">
        <v>1.1000000000000001</v>
      </c>
      <c r="AI110" s="396">
        <v>0.4</v>
      </c>
      <c r="AJ110" s="124">
        <v>-0.7</v>
      </c>
      <c r="AK110" s="124">
        <v>1.7</v>
      </c>
      <c r="AL110" s="123">
        <v>-0.9</v>
      </c>
      <c r="AM110" s="123">
        <v>1.29999999999697</v>
      </c>
      <c r="AN110" s="128">
        <v>-3.3</v>
      </c>
      <c r="AO110" s="122">
        <v>2.1</v>
      </c>
      <c r="AP110" s="126">
        <v>0.8</v>
      </c>
      <c r="AQ110" s="122">
        <v>0.3</v>
      </c>
      <c r="AR110" s="125">
        <v>0.7</v>
      </c>
      <c r="AS110" s="125">
        <v>-0.3</v>
      </c>
      <c r="AT110" s="125">
        <v>3</v>
      </c>
      <c r="AU110" s="126">
        <v>-2.9</v>
      </c>
      <c r="AV110" s="121">
        <v>-0.7</v>
      </c>
      <c r="AW110" s="125">
        <v>-2.1</v>
      </c>
      <c r="AX110" s="125">
        <v>2.7</v>
      </c>
      <c r="AY110" s="125">
        <v>-0.6</v>
      </c>
      <c r="AZ110" s="132">
        <v>-0.3</v>
      </c>
      <c r="BA110" s="464">
        <v>0.2</v>
      </c>
      <c r="BB110" s="132">
        <v>-0.8</v>
      </c>
      <c r="BC110" s="134">
        <v>0.5</v>
      </c>
      <c r="BD110" s="133">
        <f ca="1">INDIRECT(ADDRESS(MATCH($B110,'【別紙1】標高（入力）'!$B:$B,0),'【別紙1】標高（入力）'!AD$2,4,TRUE,"【別紙1】標高（入力）"))</f>
        <v>-1.300000000000523</v>
      </c>
      <c r="BE110" s="132">
        <f ca="1">INDIRECT(ADDRESS(MATCH($B110,'【別紙1】標高（入力）'!$B:$B,0),'【別紙1】標高（入力）'!AE$2,4,TRUE,"【別紙1】標高（入力）"))</f>
        <v>0.90000000000145519</v>
      </c>
      <c r="BF110" s="479">
        <f ca="1">INDIRECT(ADDRESS(MATCH($B110,'【別紙1】標高（入力）'!$B:$B,0),'【別紙1】標高（入力）'!AF$2,4,TRUE,"【別紙1】標高（入力）"))</f>
        <v>0.19999999999953388</v>
      </c>
      <c r="BG110" s="479">
        <f ca="1">INDIRECT(ADDRESS(MATCH($B110,'【別紙1】標高（入力）'!$B:$B,0),'【別紙1】標高（入力）'!AG$2,4,TRUE,"【別紙1】標高（入力）"))</f>
        <v>-0.80000000000168825</v>
      </c>
      <c r="BH110" s="132">
        <f ca="1">INDIRECT(ADDRESS(MATCH($B110,'【別紙1】標高（入力）'!$B:$B,0),'【別紙1】標高（入力）'!AH$2,4,TRUE,"【別紙1】標高（入力）"))</f>
        <v>0.60000000000215437</v>
      </c>
      <c r="BI110" s="631">
        <f ca="1">INDIRECT(ADDRESS(MATCH($B110,'【別紙1】標高（入力）'!$B:$B,0),'【別紙1】標高（入力）'!AI$2,4,TRUE,"【別紙1】標高（入力）"))</f>
        <v>0.49999999999883471</v>
      </c>
      <c r="BJ110" s="598">
        <f t="shared" ca="1" si="32"/>
        <v>0.49999999999883471</v>
      </c>
      <c r="BK110" s="604">
        <f t="shared" ca="1" si="33"/>
        <v>19.399999999996737</v>
      </c>
      <c r="BL110" s="600" t="str">
        <f ca="1">INDIRECT(ADDRESS(MATCH($B110,'【別紙1】標高（入力）'!$B:$B,0),'【別紙1】標高（入力）'!$N$2,4,TRUE,"【別紙1】標高（入力）"))</f>
        <v>R5</v>
      </c>
      <c r="BM110" s="342">
        <f ca="1">INDIRECT(ADDRESS(MATCH($B110,'【別紙1】標高（入力）'!$B:$B,0),'【別紙1】標高（入力）'!$O$2,4,TRUE,"【別紙1】標高（入力）"))</f>
        <v>26.8246</v>
      </c>
      <c r="BN110" s="392"/>
    </row>
    <row r="111" spans="1:66" ht="15.95" customHeight="1">
      <c r="A111" s="119">
        <v>706</v>
      </c>
      <c r="B111" s="107" t="s">
        <v>390</v>
      </c>
      <c r="C111" s="114" t="s">
        <v>186</v>
      </c>
      <c r="D111" s="110" t="s">
        <v>702</v>
      </c>
      <c r="E111" s="109" t="s">
        <v>190</v>
      </c>
      <c r="F111" s="111" t="s">
        <v>9</v>
      </c>
      <c r="G111" s="112" t="s">
        <v>19</v>
      </c>
      <c r="H111" s="112" t="s">
        <v>541</v>
      </c>
      <c r="I111" s="112" t="s">
        <v>308</v>
      </c>
      <c r="J111" s="112" t="s">
        <v>263</v>
      </c>
      <c r="K111" s="222"/>
      <c r="L111" s="136" t="s">
        <v>636</v>
      </c>
      <c r="M111" s="127">
        <v>12.9</v>
      </c>
      <c r="N111" s="124">
        <v>-2.1</v>
      </c>
      <c r="O111" s="124">
        <v>0.1</v>
      </c>
      <c r="P111" s="124">
        <v>6.1</v>
      </c>
      <c r="Q111" s="124">
        <v>1.2</v>
      </c>
      <c r="R111" s="124">
        <v>1.4</v>
      </c>
      <c r="S111" s="124">
        <v>-3.4</v>
      </c>
      <c r="T111" s="124">
        <v>3.5</v>
      </c>
      <c r="U111" s="124">
        <v>-1.7</v>
      </c>
      <c r="V111" s="124">
        <v>2.2999999999999998</v>
      </c>
      <c r="W111" s="124">
        <v>3.7</v>
      </c>
      <c r="X111" s="124">
        <v>1</v>
      </c>
      <c r="Y111" s="124">
        <v>-1.6</v>
      </c>
      <c r="Z111" s="124">
        <v>4</v>
      </c>
      <c r="AA111" s="124">
        <v>-0.8</v>
      </c>
      <c r="AB111" s="124">
        <v>-2.6</v>
      </c>
      <c r="AC111" s="124">
        <v>2.6</v>
      </c>
      <c r="AD111" s="124">
        <v>-0.7</v>
      </c>
      <c r="AE111" s="124">
        <v>1.9</v>
      </c>
      <c r="AF111" s="129" t="s">
        <v>87</v>
      </c>
      <c r="AG111" s="124">
        <v>1.9</v>
      </c>
      <c r="AH111" s="123">
        <v>2.1</v>
      </c>
      <c r="AI111" s="396">
        <v>0.9</v>
      </c>
      <c r="AJ111" s="124">
        <v>0.3</v>
      </c>
      <c r="AK111" s="124">
        <v>2.7</v>
      </c>
      <c r="AL111" s="123">
        <v>-0.2</v>
      </c>
      <c r="AM111" s="123">
        <v>1.6999999999995901</v>
      </c>
      <c r="AN111" s="128">
        <v>-3</v>
      </c>
      <c r="AO111" s="122">
        <v>2.7</v>
      </c>
      <c r="AP111" s="126">
        <v>1.2</v>
      </c>
      <c r="AQ111" s="122">
        <v>0.9</v>
      </c>
      <c r="AR111" s="125">
        <v>1.3</v>
      </c>
      <c r="AS111" s="125">
        <v>-0.1</v>
      </c>
      <c r="AT111" s="139" t="s">
        <v>1071</v>
      </c>
      <c r="AU111" s="122"/>
      <c r="AV111" s="122"/>
      <c r="AW111" s="122">
        <v>-1.3</v>
      </c>
      <c r="AX111" s="125">
        <v>3.8</v>
      </c>
      <c r="AY111" s="125">
        <v>-0.3</v>
      </c>
      <c r="AZ111" s="132">
        <v>0</v>
      </c>
      <c r="BA111" s="464">
        <v>0.4</v>
      </c>
      <c r="BB111" s="132">
        <v>-0.4</v>
      </c>
      <c r="BC111" s="134">
        <v>0.8</v>
      </c>
      <c r="BD111" s="133">
        <f ca="1">INDIRECT(ADDRESS(MATCH($B111,'【別紙1】標高（入力）'!$B:$B,0),'【別紙1】標高（入力）'!AD$2,4,TRUE,"【別紙1】標高（入力）"))</f>
        <v>-0.70000000000192131</v>
      </c>
      <c r="BE111" s="132">
        <f ca="1">INDIRECT(ADDRESS(MATCH($B111,'【別紙1】標高（入力）'!$B:$B,0),'【別紙1】標高（入力）'!AE$2,4,TRUE,"【別紙1】標高（入力）"))</f>
        <v>1.5000000000000568</v>
      </c>
      <c r="BF111" s="479">
        <f ca="1">INDIRECT(ADDRESS(MATCH($B111,'【別紙1】標高（入力）'!$B:$B,0),'【別紙1】標高（入力）'!AF$2,4,TRUE,"【別紙1】標高（入力）"))</f>
        <v>0.80000000000168825</v>
      </c>
      <c r="BG111" s="479">
        <f ca="1">INDIRECT(ADDRESS(MATCH($B111,'【別紙1】標高（入力）'!$B:$B,0),'【別紙1】標高（入力）'!AG$2,4,TRUE,"【別紙1】標高（入力）"))</f>
        <v>-0.10000000000331966</v>
      </c>
      <c r="BH111" s="132">
        <f ca="1">INDIRECT(ADDRESS(MATCH($B111,'【別紙1】標高（入力）'!$B:$B,0),'【別紙1】標高（入力）'!AH$2,4,TRUE,"【別紙1】標高（入力）"))</f>
        <v>1.1000000000009891</v>
      </c>
      <c r="BI111" s="631">
        <f ca="1">INDIRECT(ADDRESS(MATCH($B111,'【別紙1】標高（入力）'!$B:$B,0),'【別紙1】標高（入力）'!AI$2,4,TRUE,"【別紙1】標高（入力）"))</f>
        <v>1.0000000000012221</v>
      </c>
      <c r="BJ111" s="598">
        <f t="shared" ca="1" si="32"/>
        <v>1.0000000000012221</v>
      </c>
      <c r="BK111" s="604">
        <f t="shared" ca="1" si="33"/>
        <v>46.799999999998299</v>
      </c>
      <c r="BL111" s="600" t="str">
        <f ca="1">INDIRECT(ADDRESS(MATCH($B111,'【別紙1】標高（入力）'!$B:$B,0),'【別紙1】標高（入力）'!$N$2,4,TRUE,"【別紙1】標高（入力）"))</f>
        <v>R5</v>
      </c>
      <c r="BM111" s="342">
        <f ca="1">INDIRECT(ADDRESS(MATCH($B111,'【別紙1】標高（入力）'!$B:$B,0),'【別紙1】標高（入力）'!$O$2,4,TRUE,"【別紙1】標高（入力）"))</f>
        <v>26.4819</v>
      </c>
      <c r="BN111" s="392"/>
    </row>
    <row r="112" spans="1:66" ht="15.95" customHeight="1">
      <c r="A112" s="119">
        <v>707</v>
      </c>
      <c r="B112" s="107" t="s">
        <v>386</v>
      </c>
      <c r="C112" s="114" t="s">
        <v>186</v>
      </c>
      <c r="D112" s="110" t="s">
        <v>703</v>
      </c>
      <c r="E112" s="109" t="s">
        <v>192</v>
      </c>
      <c r="F112" s="111" t="s">
        <v>9</v>
      </c>
      <c r="G112" s="112" t="s">
        <v>19</v>
      </c>
      <c r="H112" s="112" t="s">
        <v>541</v>
      </c>
      <c r="I112" s="112" t="s">
        <v>54</v>
      </c>
      <c r="J112" s="112" t="s">
        <v>264</v>
      </c>
      <c r="K112" s="222"/>
      <c r="L112" s="136" t="s">
        <v>636</v>
      </c>
      <c r="M112" s="127">
        <v>121.1</v>
      </c>
      <c r="N112" s="124">
        <v>56.7</v>
      </c>
      <c r="O112" s="124">
        <v>10.199999999999999</v>
      </c>
      <c r="P112" s="124">
        <v>49.7</v>
      </c>
      <c r="Q112" s="124">
        <v>9</v>
      </c>
      <c r="R112" s="124">
        <v>3.2</v>
      </c>
      <c r="S112" s="124">
        <v>-4.4000000000000004</v>
      </c>
      <c r="T112" s="124">
        <v>7.9</v>
      </c>
      <c r="U112" s="124">
        <v>5.6</v>
      </c>
      <c r="V112" s="124">
        <v>19.899999999999999</v>
      </c>
      <c r="W112" s="124">
        <v>10.199999999999999</v>
      </c>
      <c r="X112" s="124">
        <v>1.4</v>
      </c>
      <c r="Y112" s="124">
        <v>-1.6</v>
      </c>
      <c r="Z112" s="124">
        <v>4.7</v>
      </c>
      <c r="AA112" s="124">
        <v>-0.6</v>
      </c>
      <c r="AB112" s="124">
        <v>1.6</v>
      </c>
      <c r="AC112" s="124">
        <v>7.3</v>
      </c>
      <c r="AD112" s="124">
        <v>-0.5</v>
      </c>
      <c r="AE112" s="124">
        <v>1.7</v>
      </c>
      <c r="AF112" s="124">
        <v>0.8</v>
      </c>
      <c r="AG112" s="124">
        <v>3.1</v>
      </c>
      <c r="AH112" s="123">
        <v>-2.2000000000000002</v>
      </c>
      <c r="AI112" s="396">
        <v>6.6</v>
      </c>
      <c r="AJ112" s="124">
        <v>3</v>
      </c>
      <c r="AK112" s="124">
        <v>0.3</v>
      </c>
      <c r="AL112" s="123">
        <v>0</v>
      </c>
      <c r="AM112" s="123">
        <v>0.70000000000192097</v>
      </c>
      <c r="AN112" s="128">
        <v>-4</v>
      </c>
      <c r="AO112" s="122">
        <v>4.5</v>
      </c>
      <c r="AP112" s="139" t="s">
        <v>636</v>
      </c>
      <c r="AQ112" s="122">
        <v>2.6</v>
      </c>
      <c r="AR112" s="125">
        <v>1.1000000000000001</v>
      </c>
      <c r="AS112" s="125">
        <v>1.4</v>
      </c>
      <c r="AT112" s="125">
        <v>1.4</v>
      </c>
      <c r="AU112" s="126">
        <v>-2.5</v>
      </c>
      <c r="AV112" s="121">
        <v>-0.9</v>
      </c>
      <c r="AW112" s="125">
        <v>-1.5</v>
      </c>
      <c r="AX112" s="125">
        <v>3.8</v>
      </c>
      <c r="AY112" s="125">
        <v>-3.8</v>
      </c>
      <c r="AZ112" s="139" t="s">
        <v>1069</v>
      </c>
      <c r="BA112" s="460">
        <v>0.2</v>
      </c>
      <c r="BB112" s="126">
        <v>0.5</v>
      </c>
      <c r="BC112" s="122">
        <v>-0.4</v>
      </c>
      <c r="BD112" s="125">
        <f ca="1">INDIRECT(ADDRESS(MATCH($B112,'【別紙1】標高（入力）'!$B:$B,0),'【別紙1】標高（入力）'!AD$2,4,TRUE,"【別紙1】標高（入力）"))</f>
        <v>1.5999999999998238</v>
      </c>
      <c r="BE112" s="139" t="s">
        <v>1333</v>
      </c>
      <c r="BF112" s="121">
        <f ca="1">INDIRECT(ADDRESS(MATCH($B112,'【別紙1】標高（入力）'!$B:$B,0),'【別紙1】標高（入力）'!AF$2,4,TRUE,"【別紙1】標高（入力）"))</f>
        <v>-1.4000000000002899</v>
      </c>
      <c r="BG112" s="121">
        <f ca="1">INDIRECT(ADDRESS(MATCH($B112,'【別紙1】標高（入力）'!$B:$B,0),'【別紙1】標高（入力）'!AG$2,4,TRUE,"【別紙1】標高（入力）"))</f>
        <v>1.5999999999998238</v>
      </c>
      <c r="BH112" s="125" t="str">
        <f ca="1">INDIRECT(ADDRESS(MATCH($B112,'【別紙1】標高（入力）'!$B:$B,0),'【別紙1】標高（入力）'!AH$2,4,TRUE,"【別紙1】標高（入力）"))</f>
        <v/>
      </c>
      <c r="BI112" s="624"/>
      <c r="BJ112" s="598" t="str">
        <f t="shared" ca="1" si="32"/>
        <v>-</v>
      </c>
      <c r="BK112" s="604">
        <f t="shared" ca="1" si="33"/>
        <v>319.60000000000127</v>
      </c>
      <c r="BL112" s="600" t="str">
        <f ca="1">INDIRECT(ADDRESS(MATCH($B112,'【別紙1】標高（入力）'!$B:$B,0),'【別紙1】標高（入力）'!$N$2,4,TRUE,"【別紙1】標高（入力）"))</f>
        <v>R3</v>
      </c>
      <c r="BM112" s="342">
        <f ca="1">INDIRECT(ADDRESS(MATCH($B112,'【別紙1】標高（入力）'!$B:$B,0),'【別紙1】標高（入力）'!$O$2,4,TRUE,"【別紙1】標高（入力）"))</f>
        <v>9.0615000000000006</v>
      </c>
      <c r="BN112" s="392"/>
    </row>
    <row r="113" spans="1:66" ht="15.95" customHeight="1">
      <c r="A113" s="119">
        <v>708</v>
      </c>
      <c r="B113" s="107" t="s">
        <v>388</v>
      </c>
      <c r="C113" s="114" t="s">
        <v>186</v>
      </c>
      <c r="D113" s="110" t="s">
        <v>562</v>
      </c>
      <c r="E113" s="109" t="s">
        <v>1432</v>
      </c>
      <c r="F113" s="111" t="s">
        <v>9</v>
      </c>
      <c r="G113" s="112" t="s">
        <v>19</v>
      </c>
      <c r="H113" s="112" t="s">
        <v>541</v>
      </c>
      <c r="I113" s="112" t="s">
        <v>539</v>
      </c>
      <c r="J113" s="112" t="s">
        <v>264</v>
      </c>
      <c r="K113" s="222"/>
      <c r="L113" s="136" t="s">
        <v>636</v>
      </c>
      <c r="M113" s="127">
        <v>54.5</v>
      </c>
      <c r="N113" s="124">
        <v>1.8</v>
      </c>
      <c r="O113" s="124">
        <v>1.1000000000000001</v>
      </c>
      <c r="P113" s="124">
        <v>7.8</v>
      </c>
      <c r="Q113" s="124">
        <v>2.6</v>
      </c>
      <c r="R113" s="124">
        <v>2.2000000000000002</v>
      </c>
      <c r="S113" s="124">
        <v>-5.9</v>
      </c>
      <c r="T113" s="124">
        <v>6.1</v>
      </c>
      <c r="U113" s="124">
        <v>-2.1</v>
      </c>
      <c r="V113" s="124">
        <v>9.1</v>
      </c>
      <c r="W113" s="124">
        <v>3.6</v>
      </c>
      <c r="X113" s="124">
        <v>-0.7</v>
      </c>
      <c r="Y113" s="124">
        <v>-0.5</v>
      </c>
      <c r="Z113" s="124">
        <v>3.7</v>
      </c>
      <c r="AA113" s="124">
        <v>-0.7</v>
      </c>
      <c r="AB113" s="124">
        <v>-0.8</v>
      </c>
      <c r="AC113" s="124">
        <v>2.9</v>
      </c>
      <c r="AD113" s="124">
        <v>-0.3</v>
      </c>
      <c r="AE113" s="124">
        <v>0.1</v>
      </c>
      <c r="AF113" s="124">
        <v>0.6</v>
      </c>
      <c r="AG113" s="124">
        <v>2.4</v>
      </c>
      <c r="AH113" s="123">
        <v>5.8</v>
      </c>
      <c r="AI113" s="396">
        <v>5.6</v>
      </c>
      <c r="AJ113" s="124">
        <v>-0.5</v>
      </c>
      <c r="AK113" s="124">
        <v>3.3</v>
      </c>
      <c r="AL113" s="123">
        <v>-0.6</v>
      </c>
      <c r="AM113" s="123">
        <v>0.799999999999912</v>
      </c>
      <c r="AN113" s="128">
        <v>-3.4</v>
      </c>
      <c r="AO113" s="122">
        <v>3.4</v>
      </c>
      <c r="AP113" s="139" t="s">
        <v>636</v>
      </c>
      <c r="AQ113" s="122">
        <v>3.8</v>
      </c>
      <c r="AR113" s="125">
        <v>1.2</v>
      </c>
      <c r="AS113" s="125">
        <v>0.6</v>
      </c>
      <c r="AT113" s="139" t="s">
        <v>1071</v>
      </c>
      <c r="AU113" s="122"/>
      <c r="AV113" s="122"/>
      <c r="AW113" s="121">
        <v>-3.5</v>
      </c>
      <c r="AX113" s="125">
        <v>3.7</v>
      </c>
      <c r="AY113" s="139" t="s">
        <v>1071</v>
      </c>
      <c r="AZ113" s="122"/>
      <c r="BA113" s="460"/>
      <c r="BB113" s="121">
        <v>-3.8</v>
      </c>
      <c r="BC113" s="122">
        <v>0.5</v>
      </c>
      <c r="BD113" s="139" t="s">
        <v>1071</v>
      </c>
      <c r="BE113" s="122" t="str">
        <f ca="1">INDIRECT(ADDRESS(MATCH($B113,'【別紙1】標高（入力）'!$B:$B,0),'【別紙1】標高（入力）'!AE$2,4,TRUE,"【別紙1】標高（入力）"))</f>
        <v/>
      </c>
      <c r="BF113" s="122" t="str">
        <f ca="1">INDIRECT(ADDRESS(MATCH($B113,'【別紙1】標高（入力）'!$B:$B,0),'【別紙1】標高（入力）'!AF$2,4,TRUE,"【別紙1】標高（入力）"))</f>
        <v/>
      </c>
      <c r="BG113" s="121">
        <f ca="1">INDIRECT(ADDRESS(MATCH($B113,'【別紙1】標高（入力）'!$B:$B,0),'【別紙1】標高（入力）'!AG$2,4,TRUE,"【別紙1】標高（入力）"))</f>
        <v>1.5000000000000568</v>
      </c>
      <c r="BH113" s="125" t="str">
        <f ca="1">INDIRECT(ADDRESS(MATCH($B113,'【別紙1】標高（入力）'!$B:$B,0),'【別紙1】標高（入力）'!AH$2,4,TRUE,"【別紙1】標高（入力）"))</f>
        <v/>
      </c>
      <c r="BI113" s="624"/>
      <c r="BJ113" s="598" t="str">
        <f t="shared" ca="1" si="32"/>
        <v>-</v>
      </c>
      <c r="BK113" s="604">
        <f t="shared" ca="1" si="33"/>
        <v>105.89999999999995</v>
      </c>
      <c r="BL113" s="600" t="str">
        <f ca="1">INDIRECT(ADDRESS(MATCH($B113,'【別紙1】標高（入力）'!$B:$B,0),'【別紙1】標高（入力）'!$N$2,4,TRUE,"【別紙1】標高（入力）"))</f>
        <v>R3</v>
      </c>
      <c r="BM113" s="342">
        <f ca="1">INDIRECT(ADDRESS(MATCH($B113,'【別紙1】標高（入力）'!$B:$B,0),'【別紙1】標高（入力）'!$O$2,4,TRUE,"【別紙1】標高（入力）"))</f>
        <v>12.725199999999999</v>
      </c>
      <c r="BN113" s="392"/>
    </row>
    <row r="114" spans="1:66" ht="15.95" customHeight="1">
      <c r="A114" s="119">
        <v>709</v>
      </c>
      <c r="B114" s="591">
        <v>7408</v>
      </c>
      <c r="C114" s="114" t="s">
        <v>186</v>
      </c>
      <c r="D114" s="110" t="s">
        <v>575</v>
      </c>
      <c r="E114" s="109" t="s">
        <v>195</v>
      </c>
      <c r="F114" s="111" t="s">
        <v>12</v>
      </c>
      <c r="G114" s="112" t="s">
        <v>19</v>
      </c>
      <c r="H114" s="112" t="s">
        <v>541</v>
      </c>
      <c r="I114" s="112" t="s">
        <v>284</v>
      </c>
      <c r="J114" s="112" t="s">
        <v>263</v>
      </c>
      <c r="K114" s="222"/>
      <c r="L114" s="124">
        <v>26.4</v>
      </c>
      <c r="M114" s="124">
        <v>-4.5999999999999996</v>
      </c>
      <c r="N114" s="124">
        <v>-4.0999999999999996</v>
      </c>
      <c r="O114" s="136" t="s">
        <v>636</v>
      </c>
      <c r="P114" s="127">
        <v>7.5</v>
      </c>
      <c r="Q114" s="124">
        <v>-0.2</v>
      </c>
      <c r="R114" s="124">
        <v>2.5</v>
      </c>
      <c r="S114" s="124">
        <v>-4.4000000000000004</v>
      </c>
      <c r="T114" s="124">
        <v>3.2</v>
      </c>
      <c r="U114" s="124">
        <v>-1.6</v>
      </c>
      <c r="V114" s="124">
        <v>1.8</v>
      </c>
      <c r="W114" s="124">
        <v>5.7</v>
      </c>
      <c r="X114" s="124">
        <v>-0.9</v>
      </c>
      <c r="Y114" s="136" t="s">
        <v>652</v>
      </c>
      <c r="Z114" s="122"/>
      <c r="AA114" s="122"/>
      <c r="AB114" s="127">
        <v>2.2000000000000002</v>
      </c>
      <c r="AC114" s="136" t="s">
        <v>1273</v>
      </c>
      <c r="AD114" s="122"/>
      <c r="AE114" s="127">
        <v>3</v>
      </c>
      <c r="AF114" s="136" t="s">
        <v>1274</v>
      </c>
      <c r="AG114" s="122"/>
      <c r="AH114" s="122">
        <v>1.9</v>
      </c>
      <c r="AI114" s="139" t="s">
        <v>707</v>
      </c>
      <c r="AJ114" s="122"/>
      <c r="AK114" s="122"/>
      <c r="AL114" s="122"/>
      <c r="AM114" s="122"/>
      <c r="AN114" s="122"/>
      <c r="AO114" s="122"/>
      <c r="AP114" s="121">
        <v>3.3</v>
      </c>
      <c r="AQ114" s="139" t="s">
        <v>1071</v>
      </c>
      <c r="AR114" s="122"/>
      <c r="AS114" s="122"/>
      <c r="AT114" s="122">
        <v>4</v>
      </c>
      <c r="AU114" s="126">
        <v>-3.3</v>
      </c>
      <c r="AV114" s="121">
        <v>-1</v>
      </c>
      <c r="AW114" s="125">
        <v>-2.2000000000000002</v>
      </c>
      <c r="AX114" s="125">
        <v>3.3</v>
      </c>
      <c r="AY114" s="125">
        <v>-0.1</v>
      </c>
      <c r="AZ114" s="132">
        <v>-1</v>
      </c>
      <c r="BA114" s="464">
        <v>0.2</v>
      </c>
      <c r="BB114" s="132">
        <v>-0.8</v>
      </c>
      <c r="BC114" s="139" t="s">
        <v>1069</v>
      </c>
      <c r="BD114" s="134">
        <f ca="1">INDIRECT(ADDRESS(MATCH($B114,'【別紙1】標高（入力）'!$B:$B,0),'【別紙1】標高（入力）'!AD$2,4,TRUE,"【別紙1】標高（入力）"))</f>
        <v>-0.19999999999953388</v>
      </c>
      <c r="BE114" s="132">
        <f ca="1">INDIRECT(ADDRESS(MATCH($B114,'【別紙1】標高（入力）'!$B:$B,0),'【別紙1】標高（入力）'!AE$2,4,TRUE,"【別紙1】標高（入力）"))</f>
        <v>1.4000000000002899</v>
      </c>
      <c r="BF114" s="479">
        <f ca="1">INDIRECT(ADDRESS(MATCH($B114,'【別紙1】標高（入力）'!$B:$B,0),'【別紙1】標高（入力）'!AF$2,4,TRUE,"【別紙1】標高（入力）"))</f>
        <v>0.59999999999860165</v>
      </c>
      <c r="BG114" s="479">
        <f ca="1">INDIRECT(ADDRESS(MATCH($B114,'【別紙1】標高（入力）'!$B:$B,0),'【別紙1】標高（入力）'!AG$2,4,TRUE,"【別紙1】標高（入力）"))</f>
        <v>-0.49999999999883471</v>
      </c>
      <c r="BH114" s="132">
        <f ca="1">INDIRECT(ADDRESS(MATCH($B114,'【別紙1】標高（入力）'!$B:$B,0),'【別紙1】標高（入力）'!AH$2,4,TRUE,"【別紙1】標高（入力）"))</f>
        <v>0.29999999999930083</v>
      </c>
      <c r="BI114" s="631">
        <f ca="1">INDIRECT(ADDRESS(MATCH($B114,'【別紙1】標高（入力）'!$B:$B,0),'【別紙1】標高（入力）'!AI$2,4,TRUE,"【別紙1】標高（入力）"))</f>
        <v>9.9999999999766942E-2</v>
      </c>
      <c r="BJ114" s="598">
        <f t="shared" ca="1" si="32"/>
        <v>9.9999999999766942E-2</v>
      </c>
      <c r="BK114" s="604">
        <f t="shared" ca="1" si="33"/>
        <v>42.499999999999588</v>
      </c>
      <c r="BL114" s="600" t="str">
        <f ca="1">INDIRECT(ADDRESS(MATCH($B114,'【別紙1】標高（入力）'!$B:$B,0),'【別紙1】標高（入力）'!$N$2,4,TRUE,"【別紙1】標高（入力）"))</f>
        <v>R5</v>
      </c>
      <c r="BM114" s="340">
        <f ca="1">INDIRECT(ADDRESS(MATCH($B114,'【別紙1】標高（入力）'!$B:$B,0),'【別紙1】標高（入力）'!$O$2,4,TRUE,"【別紙1】標高（入力）"))</f>
        <v>23.647600000000001</v>
      </c>
      <c r="BN114" s="392"/>
    </row>
    <row r="115" spans="1:66" ht="15.95" customHeight="1">
      <c r="A115" s="119">
        <v>710</v>
      </c>
      <c r="B115" s="107" t="s">
        <v>350</v>
      </c>
      <c r="C115" s="114" t="s">
        <v>285</v>
      </c>
      <c r="D115" s="110" t="s">
        <v>672</v>
      </c>
      <c r="E115" s="109" t="s">
        <v>254</v>
      </c>
      <c r="F115" s="111" t="s">
        <v>287</v>
      </c>
      <c r="G115" s="112" t="s">
        <v>255</v>
      </c>
      <c r="H115" s="112" t="s">
        <v>720</v>
      </c>
      <c r="I115" s="112" t="s">
        <v>539</v>
      </c>
      <c r="J115" s="112" t="s">
        <v>263</v>
      </c>
      <c r="K115" s="224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9"/>
      <c r="AI115" s="138" t="s">
        <v>289</v>
      </c>
      <c r="AJ115" s="135" t="s">
        <v>256</v>
      </c>
      <c r="AK115" s="124">
        <v>0.3</v>
      </c>
      <c r="AL115" s="124">
        <v>-1.8</v>
      </c>
      <c r="AM115" s="124">
        <v>2.9400000000006101</v>
      </c>
      <c r="AN115" s="128">
        <v>-2.9</v>
      </c>
      <c r="AO115" s="122">
        <v>1.3</v>
      </c>
      <c r="AP115" s="126">
        <v>1.6</v>
      </c>
      <c r="AQ115" s="125">
        <v>1.5</v>
      </c>
      <c r="AR115" s="125">
        <v>1.1000000000000001</v>
      </c>
      <c r="AS115" s="125">
        <v>0.8</v>
      </c>
      <c r="AT115" s="139" t="s">
        <v>1071</v>
      </c>
      <c r="AU115" s="122"/>
      <c r="AV115" s="122"/>
      <c r="AW115" s="122">
        <v>0.3</v>
      </c>
      <c r="AX115" s="125">
        <v>1.1000000000000001</v>
      </c>
      <c r="AY115" s="125">
        <v>-1</v>
      </c>
      <c r="AZ115" s="132">
        <v>-0.1</v>
      </c>
      <c r="BA115" s="464">
        <v>-0.7</v>
      </c>
      <c r="BB115" s="132">
        <v>-0.5</v>
      </c>
      <c r="BC115" s="134">
        <v>1.8</v>
      </c>
      <c r="BD115" s="133">
        <f ca="1">INDIRECT(ADDRESS(MATCH($B115,'【別紙1】標高（入力）'!$B:$B,0),'【別紙1】標高（入力）'!AD$2,4,TRUE,"【別紙1】標高（入力）"))</f>
        <v>-2.0000000000006679</v>
      </c>
      <c r="BE115" s="132">
        <f ca="1">INDIRECT(ADDRESS(MATCH($B115,'【別紙1】標高（入力）'!$B:$B,0),'【別紙1】標高（入力）'!AE$2,4,TRUE,"【別紙1】標高（入力）"))</f>
        <v>1.1999999999989797</v>
      </c>
      <c r="BF115" s="479">
        <f ca="1">INDIRECT(ADDRESS(MATCH($B115,'【別紙1】標高（入力）'!$B:$B,0),'【別紙1】標高（入力）'!AF$2,4,TRUE,"【別紙1】標高（入力）"))</f>
        <v>-1.1999999999989797</v>
      </c>
      <c r="BG115" s="479">
        <f ca="1">INDIRECT(ADDRESS(MATCH($B115,'【別紙1】標高（入力）'!$B:$B,0),'【別紙1】標高（入力）'!AG$2,4,TRUE,"【別紙1】標高（入力）"))</f>
        <v>-9.9999999999766942E-2</v>
      </c>
      <c r="BH115" s="132">
        <f ca="1">INDIRECT(ADDRESS(MATCH($B115,'【別紙1】標高（入力）'!$B:$B,0),'【別紙1】標高（入力）'!AH$2,4,TRUE,"【別紙1】標高（入力）"))</f>
        <v>0.19999999999953388</v>
      </c>
      <c r="BI115" s="631">
        <f ca="1">INDIRECT(ADDRESS(MATCH($B115,'【別紙1】標高（入力）'!$B:$B,0),'【別紙1】標高（入力）'!AI$2,4,TRUE,"【別紙1】標高（入力）"))</f>
        <v>2.7000000000008129</v>
      </c>
      <c r="BJ115" s="598">
        <f t="shared" ca="1" si="32"/>
        <v>2.7000000000008129</v>
      </c>
      <c r="BK115" s="604">
        <f t="shared" ca="1" si="33"/>
        <v>6.5400000000005214</v>
      </c>
      <c r="BL115" s="600" t="str">
        <f ca="1">INDIRECT(ADDRESS(MATCH($B115,'【別紙1】標高（入力）'!$B:$B,0),'【別紙1】標高（入力）'!$N$2,4,TRUE,"【別紙1】標高（入力）"))</f>
        <v>R5</v>
      </c>
      <c r="BM115" s="342">
        <f ca="1">INDIRECT(ADDRESS(MATCH($B115,'【別紙1】標高（入力）'!$B:$B,0),'【別紙1】標高（入力）'!$O$2,4,TRUE,"【別紙1】標高（入力）"))</f>
        <v>12.446199999999999</v>
      </c>
      <c r="BN115" s="392"/>
    </row>
    <row r="116" spans="1:66" s="231" customFormat="1" ht="15.95" customHeight="1">
      <c r="A116" s="214">
        <v>801</v>
      </c>
      <c r="B116" s="215" t="s">
        <v>493</v>
      </c>
      <c r="C116" s="216" t="s">
        <v>196</v>
      </c>
      <c r="D116" s="217" t="s">
        <v>576</v>
      </c>
      <c r="E116" s="218" t="s">
        <v>198</v>
      </c>
      <c r="F116" s="219" t="s">
        <v>9</v>
      </c>
      <c r="G116" s="220" t="s">
        <v>10</v>
      </c>
      <c r="H116" s="220" t="s">
        <v>541</v>
      </c>
      <c r="I116" s="220" t="s">
        <v>141</v>
      </c>
      <c r="J116" s="220" t="s">
        <v>547</v>
      </c>
      <c r="K116" s="224"/>
      <c r="L116" s="228"/>
      <c r="M116" s="221"/>
      <c r="N116" s="233" t="s">
        <v>636</v>
      </c>
      <c r="O116" s="221">
        <v>-8.6999999999999993</v>
      </c>
      <c r="P116" s="222">
        <v>15.2</v>
      </c>
      <c r="Q116" s="222">
        <v>2.9</v>
      </c>
      <c r="R116" s="222">
        <v>10.5</v>
      </c>
      <c r="S116" s="233" t="s">
        <v>636</v>
      </c>
      <c r="T116" s="221">
        <v>-0.8</v>
      </c>
      <c r="U116" s="233" t="s">
        <v>636</v>
      </c>
      <c r="V116" s="221">
        <v>91</v>
      </c>
      <c r="W116" s="233" t="s">
        <v>679</v>
      </c>
      <c r="X116" s="228"/>
      <c r="Y116" s="228"/>
      <c r="Z116" s="228"/>
      <c r="AA116" s="228"/>
      <c r="AB116" s="221">
        <v>-67.400000000000006</v>
      </c>
      <c r="AC116" s="233" t="s">
        <v>1273</v>
      </c>
      <c r="AD116" s="228"/>
      <c r="AE116" s="221">
        <v>4.0999999999999996</v>
      </c>
      <c r="AF116" s="233" t="s">
        <v>1273</v>
      </c>
      <c r="AG116" s="228"/>
      <c r="AH116" s="228">
        <v>6.1</v>
      </c>
      <c r="AI116" s="227" t="s">
        <v>707</v>
      </c>
      <c r="AJ116" s="228"/>
      <c r="AK116" s="228"/>
      <c r="AL116" s="228"/>
      <c r="AM116" s="228"/>
      <c r="AN116" s="228"/>
      <c r="AO116" s="228"/>
      <c r="AP116" s="228">
        <v>24.4</v>
      </c>
      <c r="AQ116" s="225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462"/>
      <c r="BB116" s="228"/>
      <c r="BC116" s="228"/>
      <c r="BD116" s="228" t="str">
        <f ca="1">INDIRECT(ADDRESS(MATCH($B116,'【別紙1】標高（入力）'!$B:$B,0),'【別紙1】標高（入力）'!AD$2,4,TRUE,"【別紙1】標高（入力）"))</f>
        <v/>
      </c>
      <c r="BE116" s="228" t="str">
        <f ca="1">INDIRECT(ADDRESS(MATCH($B116,'【別紙1】標高（入力）'!$B:$B,0),'【別紙1】標高（入力）'!AE$2,4,TRUE,"【別紙1】標高（入力）"))</f>
        <v/>
      </c>
      <c r="BF116" s="228" t="str">
        <f ca="1">INDIRECT(ADDRESS(MATCH($B116,'【別紙1】標高（入力）'!$B:$B,0),'【別紙1】標高（入力）'!AF$2,4,TRUE,"【別紙1】標高（入力）"))</f>
        <v/>
      </c>
      <c r="BG116" s="228" t="str">
        <f ca="1">INDIRECT(ADDRESS(MATCH($B116,'【別紙1】標高（入力）'!$B:$B,0),'【別紙1】標高（入力）'!AG$2,4,TRUE,"【別紙1】標高（入力）"))</f>
        <v/>
      </c>
      <c r="BH116" s="625" t="str">
        <f ca="1">INDIRECT(ADDRESS(MATCH($B116,'【別紙1】標高（入力）'!$B:$B,0),'【別紙1】標高（入力）'!AH$2,4,TRUE,"【別紙1】標高（入力）"))</f>
        <v/>
      </c>
      <c r="BI116" s="570"/>
      <c r="BJ116" s="599" t="str">
        <f t="shared" ca="1" si="22"/>
        <v>-</v>
      </c>
      <c r="BK116" s="605">
        <f t="shared" ca="1" si="23"/>
        <v>77.299999999999983</v>
      </c>
      <c r="BL116" s="601" t="str">
        <f ca="1">INDIRECT(ADDRESS(MATCH($B116,'【別紙1】標高（入力）'!$B:$B,0),'【別紙1】標高（入力）'!$N$2,4,TRUE,"【別紙1】標高（入力）"))</f>
        <v>H16</v>
      </c>
      <c r="BM116" s="341">
        <f ca="1">INDIRECT(ADDRESS(MATCH($B116,'【別紙1】標高（入力）'!$B:$B,0),'【別紙1】標高（入力）'!$O$2,4,TRUE,"【別紙1】標高（入力）"))</f>
        <v>28.292300000000001</v>
      </c>
      <c r="BN116" s="393" t="s">
        <v>1378</v>
      </c>
    </row>
    <row r="117" spans="1:66" ht="15.95" customHeight="1">
      <c r="A117" s="119">
        <v>802</v>
      </c>
      <c r="B117" s="591">
        <v>8557</v>
      </c>
      <c r="C117" s="114" t="s">
        <v>196</v>
      </c>
      <c r="D117" s="596" t="s">
        <v>1395</v>
      </c>
      <c r="E117" s="597" t="s">
        <v>1433</v>
      </c>
      <c r="F117" s="111" t="s">
        <v>12</v>
      </c>
      <c r="G117" s="112" t="s">
        <v>10</v>
      </c>
      <c r="H117" s="112" t="s">
        <v>541</v>
      </c>
      <c r="I117" s="112" t="s">
        <v>141</v>
      </c>
      <c r="J117" s="112" t="s">
        <v>547</v>
      </c>
      <c r="K117" s="224"/>
      <c r="L117" s="228"/>
      <c r="M117" s="221"/>
      <c r="N117" s="124">
        <v>-3.6</v>
      </c>
      <c r="O117" s="124">
        <v>-3.9</v>
      </c>
      <c r="P117" s="124">
        <v>13.7</v>
      </c>
      <c r="Q117" s="124">
        <v>4.8</v>
      </c>
      <c r="R117" s="124">
        <v>12.3</v>
      </c>
      <c r="S117" s="136" t="s">
        <v>636</v>
      </c>
      <c r="T117" s="127">
        <v>-2.9</v>
      </c>
      <c r="U117" s="136" t="s">
        <v>636</v>
      </c>
      <c r="V117" s="127">
        <v>-0.5</v>
      </c>
      <c r="W117" s="136" t="s">
        <v>679</v>
      </c>
      <c r="X117" s="122"/>
      <c r="Y117" s="122"/>
      <c r="Z117" s="122"/>
      <c r="AA117" s="122"/>
      <c r="AB117" s="127">
        <v>30.2</v>
      </c>
      <c r="AC117" s="136" t="s">
        <v>1273</v>
      </c>
      <c r="AD117" s="122"/>
      <c r="AE117" s="127">
        <v>9.1999999999999993</v>
      </c>
      <c r="AF117" s="136" t="s">
        <v>1273</v>
      </c>
      <c r="AG117" s="122"/>
      <c r="AH117" s="122">
        <v>8.1</v>
      </c>
      <c r="AI117" s="139" t="s">
        <v>707</v>
      </c>
      <c r="AJ117" s="122"/>
      <c r="AK117" s="122"/>
      <c r="AL117" s="122"/>
      <c r="AM117" s="122"/>
      <c r="AN117" s="122"/>
      <c r="AO117" s="122"/>
      <c r="AP117" s="121">
        <v>25.1</v>
      </c>
      <c r="AQ117" s="135" t="s">
        <v>1070</v>
      </c>
      <c r="AR117" s="122"/>
      <c r="AS117" s="122"/>
      <c r="AT117" s="122"/>
      <c r="AU117" s="122">
        <v>4.8</v>
      </c>
      <c r="AV117" s="225"/>
      <c r="AW117" s="138" t="s">
        <v>260</v>
      </c>
      <c r="AX117" s="228"/>
      <c r="AY117" s="138" t="s">
        <v>530</v>
      </c>
      <c r="AZ117" s="139" t="s">
        <v>1069</v>
      </c>
      <c r="BA117" s="460">
        <v>0.1</v>
      </c>
      <c r="BB117" s="139" t="s">
        <v>1068</v>
      </c>
      <c r="BC117" s="122"/>
      <c r="BD117" s="122">
        <f ca="1">INDIRECT(ADDRESS(MATCH($B117,'【別紙1】標高（入力）'!$B:$B,0),'【別紙1】標高（入力）'!AD$2,4,TRUE,"【別紙1】標高（入力）"))</f>
        <v>2.8000000000005798</v>
      </c>
      <c r="BE117" s="139" t="s">
        <v>1333</v>
      </c>
      <c r="BF117" s="121">
        <f ca="1">INDIRECT(ADDRESS(MATCH($B117,'【別紙1】標高（入力）'!$B:$B,0),'【別紙1】標高（入力）'!AF$2,4,TRUE,"【別紙1】標高（入力）"))</f>
        <v>2.400000000001512</v>
      </c>
      <c r="BG117" s="139" t="s">
        <v>1384</v>
      </c>
      <c r="BH117" s="121">
        <f ca="1">INDIRECT(ADDRESS(MATCH($B117,'【別紙1】標高（入力）'!$B:$B,0),'【別紙1】標高（入力）'!AH$2,4,TRUE,"【別紙1】標高（入力）"))</f>
        <v>0.49999999999883471</v>
      </c>
      <c r="BI117" s="624"/>
      <c r="BJ117" s="598" t="str">
        <f t="shared" ca="1" si="32"/>
        <v>-</v>
      </c>
      <c r="BK117" s="604">
        <f t="shared" ref="BK117:BK118" ca="1" si="34">SUM(K117:BI117)</f>
        <v>103.10000000000092</v>
      </c>
      <c r="BL117" s="600" t="str">
        <f ca="1">INDIRECT(ADDRESS(MATCH($B117,'【別紙1】標高（入力）'!$B:$B,0),'【別紙1】標高（入力）'!$N$2,4,TRUE,"【別紙1】標高（入力）"))</f>
        <v>R4</v>
      </c>
      <c r="BM117" s="340">
        <f ca="1">INDIRECT(ADDRESS(MATCH($B117,'【別紙1】標高（入力）'!$B:$B,0),'【別紙1】標高（入力）'!$O$2,4,TRUE,"【別紙1】標高（入力）"))</f>
        <v>19.467700000000001</v>
      </c>
      <c r="BN117" s="392"/>
    </row>
    <row r="118" spans="1:66" ht="15.95" customHeight="1">
      <c r="A118" s="119">
        <v>803</v>
      </c>
      <c r="B118" s="591">
        <v>4598</v>
      </c>
      <c r="C118" s="114" t="s">
        <v>196</v>
      </c>
      <c r="D118" s="110" t="s">
        <v>688</v>
      </c>
      <c r="E118" s="597" t="s">
        <v>1434</v>
      </c>
      <c r="F118" s="111" t="s">
        <v>12</v>
      </c>
      <c r="G118" s="112" t="s">
        <v>10</v>
      </c>
      <c r="H118" s="112" t="s">
        <v>541</v>
      </c>
      <c r="I118" s="112" t="s">
        <v>141</v>
      </c>
      <c r="J118" s="112" t="s">
        <v>547</v>
      </c>
      <c r="K118" s="224"/>
      <c r="L118" s="228"/>
      <c r="M118" s="221"/>
      <c r="N118" s="124">
        <v>-2.6</v>
      </c>
      <c r="O118" s="124">
        <v>-3.3</v>
      </c>
      <c r="P118" s="124">
        <v>11.7</v>
      </c>
      <c r="Q118" s="124">
        <v>5</v>
      </c>
      <c r="R118" s="124">
        <v>12.9</v>
      </c>
      <c r="S118" s="136" t="s">
        <v>636</v>
      </c>
      <c r="T118" s="127">
        <v>4.7</v>
      </c>
      <c r="U118" s="136" t="s">
        <v>1275</v>
      </c>
      <c r="V118" s="122"/>
      <c r="W118" s="122"/>
      <c r="X118" s="122"/>
      <c r="Y118" s="122"/>
      <c r="Z118" s="122"/>
      <c r="AA118" s="122"/>
      <c r="AB118" s="127">
        <v>21.7</v>
      </c>
      <c r="AC118" s="136" t="s">
        <v>1273</v>
      </c>
      <c r="AD118" s="122"/>
      <c r="AE118" s="127">
        <v>9.9</v>
      </c>
      <c r="AF118" s="136" t="s">
        <v>1273</v>
      </c>
      <c r="AG118" s="122"/>
      <c r="AH118" s="122">
        <v>7.4</v>
      </c>
      <c r="AI118" s="139" t="s">
        <v>707</v>
      </c>
      <c r="AJ118" s="122"/>
      <c r="AK118" s="122"/>
      <c r="AL118" s="122"/>
      <c r="AM118" s="122"/>
      <c r="AN118" s="122"/>
      <c r="AO118" s="122"/>
      <c r="AP118" s="121">
        <v>29.9</v>
      </c>
      <c r="AQ118" s="135" t="s">
        <v>1070</v>
      </c>
      <c r="AR118" s="122"/>
      <c r="AS118" s="122"/>
      <c r="AT118" s="122"/>
      <c r="AU118" s="122">
        <v>3.2</v>
      </c>
      <c r="AV118" s="139" t="s">
        <v>1072</v>
      </c>
      <c r="AW118" s="122"/>
      <c r="AX118" s="122"/>
      <c r="AY118" s="122"/>
      <c r="AZ118" s="122"/>
      <c r="BA118" s="460">
        <v>8.9</v>
      </c>
      <c r="BB118" s="139" t="s">
        <v>1336</v>
      </c>
      <c r="BC118" s="122"/>
      <c r="BD118" s="122" t="str">
        <f ca="1">INDIRECT(ADDRESS(MATCH($B118,'【別紙1】標高（入力）'!$B:$B,0),'【別紙1】標高（入力）'!AD$2,4,TRUE,"【別紙1】標高（入力）"))</f>
        <v/>
      </c>
      <c r="BE118" s="122" t="str">
        <f ca="1">INDIRECT(ADDRESS(MATCH($B118,'【別紙1】標高（入力）'!$B:$B,0),'【別紙1】標高（入力）'!AE$2,4,TRUE,"【別紙1】標高（入力）"))</f>
        <v/>
      </c>
      <c r="BF118" s="121">
        <f ca="1">INDIRECT(ADDRESS(MATCH($B118,'【別紙1】標高（入力）'!$B:$B,0),'【別紙1】標高（入力）'!AF$2,4,TRUE,"【別紙1】標高（入力）"))</f>
        <v>3.2999999999958618</v>
      </c>
      <c r="BG118" s="122" t="str">
        <f ca="1">INDIRECT(ADDRESS(MATCH($B118,'【別紙1】標高（入力）'!$B:$B,0),'【別紙1】標高（入力）'!AG$2,4,TRUE,"【別紙1】標高（入力）"))</f>
        <v/>
      </c>
      <c r="BH118" s="122" t="str">
        <f ca="1">INDIRECT(ADDRESS(MATCH($B118,'【別紙1】標高（入力）'!$B:$B,0),'【別紙1】標高（入力）'!AH$2,4,TRUE,"【別紙1】標高（入力）"))</f>
        <v/>
      </c>
      <c r="BI118" s="624"/>
      <c r="BJ118" s="598" t="str">
        <f t="shared" ca="1" si="32"/>
        <v>-</v>
      </c>
      <c r="BK118" s="604">
        <f t="shared" ca="1" si="34"/>
        <v>112.69999999999585</v>
      </c>
      <c r="BL118" s="600" t="str">
        <f ca="1">INDIRECT(ADDRESS(MATCH($B118,'【別紙1】標高（入力）'!$B:$B,0),'【別紙1】標高（入力）'!$N$2,4,TRUE,"【別紙1】標高（入力）"))</f>
        <v>R2</v>
      </c>
      <c r="BM118" s="340">
        <f ca="1">INDIRECT(ADDRESS(MATCH($B118,'【別紙1】標高（入力）'!$B:$B,0),'【別紙1】標高（入力）'!$O$2,4,TRUE,"【別紙1】標高（入力）"))</f>
        <v>47.150100000000002</v>
      </c>
      <c r="BN118" s="392"/>
    </row>
    <row r="119" spans="1:66" s="231" customFormat="1" ht="15.95" customHeight="1">
      <c r="A119" s="214">
        <v>804</v>
      </c>
      <c r="B119" s="215" t="s">
        <v>497</v>
      </c>
      <c r="C119" s="216" t="s">
        <v>196</v>
      </c>
      <c r="D119" s="217" t="s">
        <v>704</v>
      </c>
      <c r="E119" s="218" t="s">
        <v>251</v>
      </c>
      <c r="F119" s="219" t="s">
        <v>9</v>
      </c>
      <c r="G119" s="220" t="s">
        <v>10</v>
      </c>
      <c r="H119" s="220" t="s">
        <v>541</v>
      </c>
      <c r="I119" s="220" t="s">
        <v>141</v>
      </c>
      <c r="J119" s="220" t="s">
        <v>547</v>
      </c>
      <c r="K119" s="224"/>
      <c r="L119" s="228"/>
      <c r="M119" s="221"/>
      <c r="N119" s="233" t="s">
        <v>636</v>
      </c>
      <c r="O119" s="221">
        <v>19.600000000000001</v>
      </c>
      <c r="P119" s="222">
        <v>11.4</v>
      </c>
      <c r="Q119" s="222">
        <v>3.5</v>
      </c>
      <c r="R119" s="222">
        <v>7.4</v>
      </c>
      <c r="S119" s="233" t="s">
        <v>636</v>
      </c>
      <c r="T119" s="221">
        <v>0.8</v>
      </c>
      <c r="U119" s="233" t="s">
        <v>1275</v>
      </c>
      <c r="V119" s="228"/>
      <c r="W119" s="228"/>
      <c r="X119" s="228"/>
      <c r="Y119" s="228"/>
      <c r="Z119" s="228"/>
      <c r="AA119" s="228"/>
      <c r="AB119" s="221">
        <v>22.7</v>
      </c>
      <c r="AC119" s="233" t="s">
        <v>679</v>
      </c>
      <c r="AD119" s="228"/>
      <c r="AE119" s="228"/>
      <c r="AF119" s="228"/>
      <c r="AG119" s="228"/>
      <c r="AH119" s="228">
        <v>19.2</v>
      </c>
      <c r="AI119" s="227" t="s">
        <v>707</v>
      </c>
      <c r="AJ119" s="228"/>
      <c r="AK119" s="228"/>
      <c r="AL119" s="228"/>
      <c r="AM119" s="228"/>
      <c r="AN119" s="228"/>
      <c r="AO119" s="228"/>
      <c r="AP119" s="229">
        <v>28.5</v>
      </c>
      <c r="AQ119" s="225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462"/>
      <c r="BB119" s="228"/>
      <c r="BC119" s="228"/>
      <c r="BD119" s="228" t="str">
        <f ca="1">INDIRECT(ADDRESS(MATCH($B119,'【別紙1】標高（入力）'!$B:$B,0),'【別紙1】標高（入力）'!AD$2,4,TRUE,"【別紙1】標高（入力）"))</f>
        <v/>
      </c>
      <c r="BE119" s="228" t="str">
        <f ca="1">INDIRECT(ADDRESS(MATCH($B119,'【別紙1】標高（入力）'!$B:$B,0),'【別紙1】標高（入力）'!AE$2,4,TRUE,"【別紙1】標高（入力）"))</f>
        <v/>
      </c>
      <c r="BF119" s="228" t="str">
        <f ca="1">INDIRECT(ADDRESS(MATCH($B119,'【別紙1】標高（入力）'!$B:$B,0),'【別紙1】標高（入力）'!AF$2,4,TRUE,"【別紙1】標高（入力）"))</f>
        <v/>
      </c>
      <c r="BG119" s="228" t="str">
        <f ca="1">INDIRECT(ADDRESS(MATCH($B119,'【別紙1】標高（入力）'!$B:$B,0),'【別紙1】標高（入力）'!AG$2,4,TRUE,"【別紙1】標高（入力）"))</f>
        <v/>
      </c>
      <c r="BH119" s="625" t="str">
        <f ca="1">INDIRECT(ADDRESS(MATCH($B119,'【別紙1】標高（入力）'!$B:$B,0),'【別紙1】標高（入力）'!AH$2,4,TRUE,"【別紙1】標高（入力）"))</f>
        <v/>
      </c>
      <c r="BI119" s="625"/>
      <c r="BJ119" s="599" t="str">
        <f t="shared" ca="1" si="22"/>
        <v>-</v>
      </c>
      <c r="BK119" s="605">
        <f t="shared" ca="1" si="23"/>
        <v>113.1</v>
      </c>
      <c r="BL119" s="601" t="str">
        <f ca="1">INDIRECT(ADDRESS(MATCH($B119,'【別紙1】標高（入力）'!$B:$B,0),'【別紙1】標高（入力）'!$N$2,4,TRUE,"【別紙1】標高（入力）"))</f>
        <v>H16</v>
      </c>
      <c r="BM119" s="341">
        <f ca="1">INDIRECT(ADDRESS(MATCH($B119,'【別紙1】標高（入力）'!$B:$B,0),'【別紙1】標高（入力）'!$O$2,4,TRUE,"【別紙1】標高（入力）"))</f>
        <v>39.122199999999999</v>
      </c>
      <c r="BN119" s="393" t="s">
        <v>1378</v>
      </c>
    </row>
    <row r="120" spans="1:66" ht="15.95" customHeight="1">
      <c r="A120" s="119">
        <v>805</v>
      </c>
      <c r="B120" s="107" t="s">
        <v>499</v>
      </c>
      <c r="C120" s="114" t="s">
        <v>196</v>
      </c>
      <c r="D120" s="110" t="s">
        <v>689</v>
      </c>
      <c r="E120" s="109" t="s">
        <v>205</v>
      </c>
      <c r="F120" s="111" t="s">
        <v>9</v>
      </c>
      <c r="G120" s="112" t="s">
        <v>127</v>
      </c>
      <c r="H120" s="112" t="s">
        <v>541</v>
      </c>
      <c r="I120" s="112" t="s">
        <v>141</v>
      </c>
      <c r="J120" s="112" t="s">
        <v>547</v>
      </c>
      <c r="K120" s="224"/>
      <c r="L120" s="228"/>
      <c r="M120" s="228"/>
      <c r="N120" s="228"/>
      <c r="O120" s="228"/>
      <c r="P120" s="228"/>
      <c r="Q120" s="221"/>
      <c r="R120" s="124">
        <v>6.1</v>
      </c>
      <c r="S120" s="136" t="s">
        <v>636</v>
      </c>
      <c r="T120" s="127">
        <v>1.9</v>
      </c>
      <c r="U120" s="136" t="s">
        <v>1275</v>
      </c>
      <c r="V120" s="122"/>
      <c r="W120" s="122"/>
      <c r="X120" s="122"/>
      <c r="Y120" s="122"/>
      <c r="Z120" s="122"/>
      <c r="AA120" s="122"/>
      <c r="AB120" s="127">
        <v>28</v>
      </c>
      <c r="AC120" s="136" t="s">
        <v>679</v>
      </c>
      <c r="AD120" s="122"/>
      <c r="AE120" s="122"/>
      <c r="AF120" s="122"/>
      <c r="AG120" s="122"/>
      <c r="AH120" s="122">
        <v>19.8</v>
      </c>
      <c r="AI120" s="139" t="s">
        <v>707</v>
      </c>
      <c r="AJ120" s="122"/>
      <c r="AK120" s="122"/>
      <c r="AL120" s="122"/>
      <c r="AM120" s="122"/>
      <c r="AN120" s="122"/>
      <c r="AO120" s="122"/>
      <c r="AP120" s="121">
        <v>31.9</v>
      </c>
      <c r="AQ120" s="135" t="s">
        <v>1070</v>
      </c>
      <c r="AR120" s="122"/>
      <c r="AS120" s="122"/>
      <c r="AT120" s="122"/>
      <c r="AU120" s="122">
        <v>1.8</v>
      </c>
      <c r="AV120" s="139" t="s">
        <v>1072</v>
      </c>
      <c r="AW120" s="122"/>
      <c r="AX120" s="122"/>
      <c r="AY120" s="122"/>
      <c r="AZ120" s="122"/>
      <c r="BA120" s="460">
        <v>11.2</v>
      </c>
      <c r="BB120" s="139" t="s">
        <v>1336</v>
      </c>
      <c r="BC120" s="122"/>
      <c r="BD120" s="122" t="str">
        <f ca="1">INDIRECT(ADDRESS(MATCH($B120,'【別紙1】標高（入力）'!$B:$B,0),'【別紙1】標高（入力）'!AD$2,4,TRUE,"【別紙1】標高（入力）"))</f>
        <v/>
      </c>
      <c r="BE120" s="122" t="str">
        <f ca="1">INDIRECT(ADDRESS(MATCH($B120,'【別紙1】標高（入力）'!$B:$B,0),'【別紙1】標高（入力）'!AE$2,4,TRUE,"【別紙1】標高（入力）"))</f>
        <v/>
      </c>
      <c r="BF120" s="121">
        <f ca="1">INDIRECT(ADDRESS(MATCH($B120,'【別紙1】標高（入力）'!$B:$B,0),'【別紙1】標高（入力）'!AF$2,4,TRUE,"【別紙1】標高（入力）"))</f>
        <v>4.1000000000011028</v>
      </c>
      <c r="BG120" s="122" t="str">
        <f ca="1">INDIRECT(ADDRESS(MATCH($B120,'【別紙1】標高（入力）'!$B:$B,0),'【別紙1】標高（入力）'!AG$2,4,TRUE,"【別紙1】標高（入力）"))</f>
        <v/>
      </c>
      <c r="BH120" s="122" t="str">
        <f ca="1">INDIRECT(ADDRESS(MATCH($B120,'【別紙1】標高（入力）'!$B:$B,0),'【別紙1】標高（入力）'!AH$2,4,TRUE,"【別紙1】標高（入力）"))</f>
        <v/>
      </c>
      <c r="BI120" s="624"/>
      <c r="BJ120" s="598" t="str">
        <f t="shared" ca="1" si="32"/>
        <v>-</v>
      </c>
      <c r="BK120" s="604">
        <f t="shared" ref="BK120:BK122" ca="1" si="35">SUM(K120:BI120)</f>
        <v>104.80000000000109</v>
      </c>
      <c r="BL120" s="600" t="str">
        <f ca="1">INDIRECT(ADDRESS(MATCH($B120,'【別紙1】標高（入力）'!$B:$B,0),'【別紙1】標高（入力）'!$N$2,4,TRUE,"【別紙1】標高（入力）"))</f>
        <v>R2</v>
      </c>
      <c r="BM120" s="340">
        <f ca="1">INDIRECT(ADDRESS(MATCH($B120,'【別紙1】標高（入力）'!$B:$B,0),'【別紙1】標高（入力）'!$O$2,4,TRUE,"【別紙1】標高（入力）"))</f>
        <v>22.140699999999999</v>
      </c>
      <c r="BN120" s="392"/>
    </row>
    <row r="121" spans="1:66" ht="15.95" customHeight="1">
      <c r="A121" s="119">
        <v>806</v>
      </c>
      <c r="B121" s="107" t="s">
        <v>501</v>
      </c>
      <c r="C121" s="114" t="s">
        <v>196</v>
      </c>
      <c r="D121" s="110" t="s">
        <v>659</v>
      </c>
      <c r="E121" s="109" t="s">
        <v>207</v>
      </c>
      <c r="F121" s="111" t="s">
        <v>9</v>
      </c>
      <c r="G121" s="112" t="s">
        <v>31</v>
      </c>
      <c r="H121" s="112" t="s">
        <v>541</v>
      </c>
      <c r="I121" s="112" t="s">
        <v>141</v>
      </c>
      <c r="J121" s="112" t="s">
        <v>547</v>
      </c>
      <c r="K121" s="224"/>
      <c r="L121" s="228"/>
      <c r="M121" s="228"/>
      <c r="N121" s="228"/>
      <c r="O121" s="228"/>
      <c r="P121" s="221"/>
      <c r="Q121" s="124">
        <v>9.1999999999999993</v>
      </c>
      <c r="R121" s="124">
        <v>10.8</v>
      </c>
      <c r="S121" s="136" t="s">
        <v>636</v>
      </c>
      <c r="T121" s="127">
        <v>-5.7</v>
      </c>
      <c r="U121" s="136" t="s">
        <v>1275</v>
      </c>
      <c r="V121" s="122"/>
      <c r="W121" s="122"/>
      <c r="X121" s="122"/>
      <c r="Y121" s="122"/>
      <c r="Z121" s="122"/>
      <c r="AA121" s="122"/>
      <c r="AB121" s="127">
        <v>32.9</v>
      </c>
      <c r="AC121" s="136" t="s">
        <v>679</v>
      </c>
      <c r="AD121" s="122"/>
      <c r="AE121" s="122"/>
      <c r="AF121" s="122"/>
      <c r="AG121" s="122"/>
      <c r="AH121" s="122">
        <v>27</v>
      </c>
      <c r="AI121" s="139" t="s">
        <v>707</v>
      </c>
      <c r="AJ121" s="122"/>
      <c r="AK121" s="122"/>
      <c r="AL121" s="122"/>
      <c r="AM121" s="122"/>
      <c r="AN121" s="122"/>
      <c r="AO121" s="122"/>
      <c r="AP121" s="121">
        <v>24.1</v>
      </c>
      <c r="AQ121" s="135" t="s">
        <v>1070</v>
      </c>
      <c r="AR121" s="122"/>
      <c r="AS121" s="122"/>
      <c r="AT121" s="122"/>
      <c r="AU121" s="122">
        <v>-3.7</v>
      </c>
      <c r="AV121" s="139" t="s">
        <v>1072</v>
      </c>
      <c r="AW121" s="122"/>
      <c r="AX121" s="122"/>
      <c r="AY121" s="122"/>
      <c r="AZ121" s="122"/>
      <c r="BA121" s="460">
        <v>9.6</v>
      </c>
      <c r="BB121" s="139" t="s">
        <v>1336</v>
      </c>
      <c r="BC121" s="122"/>
      <c r="BD121" s="122" t="str">
        <f ca="1">INDIRECT(ADDRESS(MATCH($B121,'【別紙1】標高（入力）'!$B:$B,0),'【別紙1】標高（入力）'!AD$2,4,TRUE,"【別紙1】標高（入力）"))</f>
        <v/>
      </c>
      <c r="BE121" s="122" t="str">
        <f ca="1">INDIRECT(ADDRESS(MATCH($B121,'【別紙1】標高（入力）'!$B:$B,0),'【別紙1】標高（入力）'!AE$2,4,TRUE,"【別紙1】標高（入力）"))</f>
        <v/>
      </c>
      <c r="BF121" s="121">
        <f ca="1">INDIRECT(ADDRESS(MATCH($B121,'【別紙1】標高（入力）'!$B:$B,0),'【別紙1】標高（入力）'!AF$2,4,TRUE,"【別紙1】標高（入力）"))</f>
        <v>5.3000000000018588</v>
      </c>
      <c r="BG121" s="122" t="str">
        <f ca="1">INDIRECT(ADDRESS(MATCH($B121,'【別紙1】標高（入力）'!$B:$B,0),'【別紙1】標高（入力）'!AG$2,4,TRUE,"【別紙1】標高（入力）"))</f>
        <v/>
      </c>
      <c r="BH121" s="122" t="str">
        <f ca="1">INDIRECT(ADDRESS(MATCH($B121,'【別紙1】標高（入力）'!$B:$B,0),'【別紙1】標高（入力）'!AH$2,4,TRUE,"【別紙1】標高（入力）"))</f>
        <v/>
      </c>
      <c r="BI121" s="624"/>
      <c r="BJ121" s="598" t="str">
        <f t="shared" ca="1" si="32"/>
        <v>-</v>
      </c>
      <c r="BK121" s="604">
        <f t="shared" ca="1" si="35"/>
        <v>109.50000000000186</v>
      </c>
      <c r="BL121" s="600" t="str">
        <f ca="1">INDIRECT(ADDRESS(MATCH($B121,'【別紙1】標高（入力）'!$B:$B,0),'【別紙1】標高（入力）'!$N$2,4,TRUE,"【別紙1】標高（入力）"))</f>
        <v>R2</v>
      </c>
      <c r="BM121" s="340">
        <f ca="1">INDIRECT(ADDRESS(MATCH($B121,'【別紙1】標高（入力）'!$B:$B,0),'【別紙1】標高（入力）'!$O$2,4,TRUE,"【別紙1】標高（入力）"))</f>
        <v>28.729399999999998</v>
      </c>
      <c r="BN121" s="392"/>
    </row>
    <row r="122" spans="1:66" ht="15.95" customHeight="1">
      <c r="A122" s="119">
        <v>807</v>
      </c>
      <c r="B122" s="591">
        <v>8555</v>
      </c>
      <c r="C122" s="114" t="s">
        <v>196</v>
      </c>
      <c r="D122" s="110" t="s">
        <v>580</v>
      </c>
      <c r="E122" s="597" t="s">
        <v>1435</v>
      </c>
      <c r="F122" s="111" t="s">
        <v>12</v>
      </c>
      <c r="G122" s="112" t="s">
        <v>31</v>
      </c>
      <c r="H122" s="112" t="s">
        <v>541</v>
      </c>
      <c r="I122" s="112" t="s">
        <v>54</v>
      </c>
      <c r="J122" s="112" t="s">
        <v>291</v>
      </c>
      <c r="K122" s="224"/>
      <c r="L122" s="228"/>
      <c r="M122" s="228"/>
      <c r="N122" s="228"/>
      <c r="O122" s="228"/>
      <c r="P122" s="221"/>
      <c r="Q122" s="124">
        <v>13.4</v>
      </c>
      <c r="R122" s="124">
        <v>12.2</v>
      </c>
      <c r="S122" s="124">
        <v>11.7</v>
      </c>
      <c r="T122" s="124">
        <v>9.9</v>
      </c>
      <c r="U122" s="124">
        <v>7.2</v>
      </c>
      <c r="V122" s="124">
        <v>11.3</v>
      </c>
      <c r="W122" s="136" t="s">
        <v>679</v>
      </c>
      <c r="X122" s="122"/>
      <c r="Y122" s="122"/>
      <c r="Z122" s="122"/>
      <c r="AA122" s="122"/>
      <c r="AB122" s="127">
        <v>42.6</v>
      </c>
      <c r="AC122" s="136" t="s">
        <v>1273</v>
      </c>
      <c r="AD122" s="122"/>
      <c r="AE122" s="127">
        <v>23.7</v>
      </c>
      <c r="AF122" s="136" t="s">
        <v>1273</v>
      </c>
      <c r="AG122" s="122"/>
      <c r="AH122" s="122">
        <v>15</v>
      </c>
      <c r="AI122" s="139" t="s">
        <v>525</v>
      </c>
      <c r="AJ122" s="122"/>
      <c r="AK122" s="127">
        <v>12.7</v>
      </c>
      <c r="AL122" s="136" t="s">
        <v>525</v>
      </c>
      <c r="AM122" s="122"/>
      <c r="AN122" s="121">
        <v>9</v>
      </c>
      <c r="AO122" s="139" t="s">
        <v>637</v>
      </c>
      <c r="AP122" s="121">
        <v>26.1</v>
      </c>
      <c r="AQ122" s="135" t="s">
        <v>1070</v>
      </c>
      <c r="AR122" s="122"/>
      <c r="AS122" s="122"/>
      <c r="AT122" s="122"/>
      <c r="AU122" s="122">
        <v>4.8</v>
      </c>
      <c r="AV122" s="139" t="s">
        <v>1071</v>
      </c>
      <c r="AW122" s="122"/>
      <c r="AX122" s="122"/>
      <c r="AY122" s="122">
        <v>13.9</v>
      </c>
      <c r="AZ122" s="139" t="s">
        <v>1069</v>
      </c>
      <c r="BA122" s="460">
        <v>3.5</v>
      </c>
      <c r="BB122" s="139" t="s">
        <v>1068</v>
      </c>
      <c r="BC122" s="122"/>
      <c r="BD122" s="122">
        <f ca="1">INDIRECT(ADDRESS(MATCH($B122,'【別紙1】標高（入力）'!$B:$B,0),'【別紙1】標高（入力）'!AD$2,4,TRUE,"【別紙1】標高（入力）"))</f>
        <v>7.6999999999998181</v>
      </c>
      <c r="BE122" s="139" t="s">
        <v>1333</v>
      </c>
      <c r="BF122" s="121">
        <f ca="1">INDIRECT(ADDRESS(MATCH($B122,'【別紙1】標高（入力）'!$B:$B,0),'【別紙1】標高（入力）'!AF$2,4,TRUE,"【別紙1】標高（入力）"))</f>
        <v>7.5000000000002842</v>
      </c>
      <c r="BG122" s="139" t="s">
        <v>1384</v>
      </c>
      <c r="BH122" s="121">
        <f ca="1">INDIRECT(ADDRESS(MATCH($B122,'【別紙1】標高（入力）'!$B:$B,0),'【別紙1】標高（入力）'!AH$2,4,TRUE,"【別紙1】標高（入力）"))</f>
        <v>1.900000000000901</v>
      </c>
      <c r="BI122" s="624"/>
      <c r="BJ122" s="598" t="str">
        <f t="shared" ca="1" si="32"/>
        <v>-</v>
      </c>
      <c r="BK122" s="604">
        <f t="shared" ca="1" si="35"/>
        <v>234.10000000000099</v>
      </c>
      <c r="BL122" s="600" t="str">
        <f ca="1">INDIRECT(ADDRESS(MATCH($B122,'【別紙1】標高（入力）'!$B:$B,0),'【別紙1】標高（入力）'!$N$2,4,TRUE,"【別紙1】標高（入力）"))</f>
        <v>R4</v>
      </c>
      <c r="BM122" s="340">
        <f ca="1">INDIRECT(ADDRESS(MATCH($B122,'【別紙1】標高（入力）'!$B:$B,0),'【別紙1】標高（入力）'!$O$2,4,TRUE,"【別紙1】標高（入力）"))</f>
        <v>11.420999999999999</v>
      </c>
      <c r="BN122" s="392"/>
    </row>
    <row r="123" spans="1:66" s="231" customFormat="1" ht="15.95" customHeight="1">
      <c r="A123" s="214">
        <v>808</v>
      </c>
      <c r="B123" s="595">
        <v>8556</v>
      </c>
      <c r="C123" s="216" t="s">
        <v>196</v>
      </c>
      <c r="D123" s="217" t="s">
        <v>673</v>
      </c>
      <c r="E123" s="218" t="s">
        <v>211</v>
      </c>
      <c r="F123" s="219" t="s">
        <v>12</v>
      </c>
      <c r="G123" s="220" t="s">
        <v>10</v>
      </c>
      <c r="H123" s="220" t="s">
        <v>541</v>
      </c>
      <c r="I123" s="220" t="s">
        <v>141</v>
      </c>
      <c r="J123" s="220" t="s">
        <v>547</v>
      </c>
      <c r="K123" s="224"/>
      <c r="L123" s="228"/>
      <c r="M123" s="221"/>
      <c r="N123" s="124">
        <v>-1.7</v>
      </c>
      <c r="O123" s="124">
        <v>-6</v>
      </c>
      <c r="P123" s="124">
        <v>13.3</v>
      </c>
      <c r="Q123" s="124">
        <v>4.8</v>
      </c>
      <c r="R123" s="124">
        <v>15.8</v>
      </c>
      <c r="S123" s="124">
        <v>-6.4</v>
      </c>
      <c r="T123" s="124">
        <v>-1.9</v>
      </c>
      <c r="U123" s="136" t="s">
        <v>636</v>
      </c>
      <c r="V123" s="127">
        <v>-1.7</v>
      </c>
      <c r="W123" s="136" t="s">
        <v>679</v>
      </c>
      <c r="X123" s="122"/>
      <c r="Y123" s="122"/>
      <c r="Z123" s="122"/>
      <c r="AA123" s="122"/>
      <c r="AB123" s="127">
        <v>29.1</v>
      </c>
      <c r="AC123" s="136" t="s">
        <v>1273</v>
      </c>
      <c r="AD123" s="122"/>
      <c r="AE123" s="127">
        <v>13.3</v>
      </c>
      <c r="AF123" s="136" t="s">
        <v>1273</v>
      </c>
      <c r="AG123" s="122"/>
      <c r="AH123" s="122">
        <v>8.1</v>
      </c>
      <c r="AI123" s="139" t="s">
        <v>707</v>
      </c>
      <c r="AJ123" s="122"/>
      <c r="AK123" s="122"/>
      <c r="AL123" s="122"/>
      <c r="AM123" s="122"/>
      <c r="AN123" s="122"/>
      <c r="AO123" s="122"/>
      <c r="AP123" s="121">
        <v>26</v>
      </c>
      <c r="AQ123" s="225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462"/>
      <c r="BB123" s="228"/>
      <c r="BC123" s="228"/>
      <c r="BD123" s="228"/>
      <c r="BE123" s="228"/>
      <c r="BF123" s="228"/>
      <c r="BG123" s="228"/>
      <c r="BH123" s="625"/>
      <c r="BI123" s="570"/>
      <c r="BJ123" s="599" t="str">
        <f t="shared" si="22"/>
        <v>-</v>
      </c>
      <c r="BK123" s="605">
        <f t="shared" si="23"/>
        <v>92.7</v>
      </c>
      <c r="BL123" s="601" t="str">
        <f ca="1">INDIRECT(ADDRESS(MATCH($B123,'【別紙1】標高（入力）'!$B:$B,0),'【別紙1】標高（入力）'!$N$2,4,TRUE,"【別紙1】標高（入力）"))</f>
        <v>H16</v>
      </c>
      <c r="BM123" s="341">
        <f ca="1">INDIRECT(ADDRESS(MATCH($B123,'【別紙1】標高（入力）'!$B:$B,0),'【別紙1】標高（入力）'!$O$2,4,TRUE,"【別紙1】標高（入力）"))</f>
        <v>22.564800000000002</v>
      </c>
      <c r="BN123" s="393" t="s">
        <v>534</v>
      </c>
    </row>
    <row r="124" spans="1:66" ht="15.95" customHeight="1">
      <c r="A124" s="119">
        <v>809</v>
      </c>
      <c r="B124" s="107" t="s">
        <v>505</v>
      </c>
      <c r="C124" s="114" t="s">
        <v>196</v>
      </c>
      <c r="D124" s="110" t="s">
        <v>660</v>
      </c>
      <c r="E124" s="109" t="s">
        <v>213</v>
      </c>
      <c r="F124" s="111" t="s">
        <v>9</v>
      </c>
      <c r="G124" s="112" t="s">
        <v>10</v>
      </c>
      <c r="H124" s="112" t="s">
        <v>541</v>
      </c>
      <c r="I124" s="112" t="s">
        <v>141</v>
      </c>
      <c r="J124" s="112" t="s">
        <v>547</v>
      </c>
      <c r="K124" s="224"/>
      <c r="L124" s="228"/>
      <c r="M124" s="221"/>
      <c r="N124" s="136" t="s">
        <v>636</v>
      </c>
      <c r="O124" s="127">
        <v>-5.4</v>
      </c>
      <c r="P124" s="124">
        <v>15.1</v>
      </c>
      <c r="Q124" s="124">
        <v>1.9</v>
      </c>
      <c r="R124" s="124">
        <v>15.5</v>
      </c>
      <c r="S124" s="124">
        <v>-3.2</v>
      </c>
      <c r="T124" s="124">
        <v>-0.2</v>
      </c>
      <c r="U124" s="136" t="s">
        <v>636</v>
      </c>
      <c r="V124" s="127">
        <v>-0.5</v>
      </c>
      <c r="W124" s="136" t="s">
        <v>679</v>
      </c>
      <c r="X124" s="122"/>
      <c r="Y124" s="122"/>
      <c r="Z124" s="122"/>
      <c r="AA124" s="122"/>
      <c r="AB124" s="127">
        <v>25</v>
      </c>
      <c r="AC124" s="136" t="s">
        <v>1273</v>
      </c>
      <c r="AD124" s="122"/>
      <c r="AE124" s="127">
        <v>12.8</v>
      </c>
      <c r="AF124" s="136" t="s">
        <v>1273</v>
      </c>
      <c r="AG124" s="122"/>
      <c r="AH124" s="122">
        <v>6.9</v>
      </c>
      <c r="AI124" s="139" t="s">
        <v>707</v>
      </c>
      <c r="AJ124" s="122"/>
      <c r="AK124" s="122"/>
      <c r="AL124" s="122"/>
      <c r="AM124" s="122"/>
      <c r="AN124" s="122"/>
      <c r="AO124" s="122"/>
      <c r="AP124" s="121">
        <v>25</v>
      </c>
      <c r="AQ124" s="135" t="s">
        <v>1070</v>
      </c>
      <c r="AR124" s="122"/>
      <c r="AS124" s="122"/>
      <c r="AT124" s="122"/>
      <c r="AU124" s="122">
        <v>1.3</v>
      </c>
      <c r="AV124" s="139" t="s">
        <v>1071</v>
      </c>
      <c r="AW124" s="122"/>
      <c r="AX124" s="122"/>
      <c r="AY124" s="122">
        <v>3.7</v>
      </c>
      <c r="AZ124" s="139" t="s">
        <v>1069</v>
      </c>
      <c r="BA124" s="460">
        <v>-1.3</v>
      </c>
      <c r="BB124" s="139" t="s">
        <v>1068</v>
      </c>
      <c r="BC124" s="122"/>
      <c r="BD124" s="122">
        <f ca="1">INDIRECT(ADDRESS(MATCH($B124,'【別紙1】標高（入力）'!$B:$B,0),'【別紙1】標高（入力）'!AD$2,4,TRUE,"【別紙1】標高（入力）"))</f>
        <v>1.9999999999988916</v>
      </c>
      <c r="BE124" s="139" t="s">
        <v>1333</v>
      </c>
      <c r="BF124" s="121">
        <f ca="1">INDIRECT(ADDRESS(MATCH($B124,'【別紙1】標高（入力）'!$B:$B,0),'【別紙1】標高（入力）'!AF$2,4,TRUE,"【別紙1】標高（入力）"))</f>
        <v>0.70000000000192131</v>
      </c>
      <c r="BG124" s="139" t="s">
        <v>1384</v>
      </c>
      <c r="BH124" s="121">
        <f ca="1">INDIRECT(ADDRESS(MATCH($B124,'【別紙1】標高（入力）'!$B:$B,0),'【別紙1】標高（入力）'!AH$2,4,TRUE,"【別紙1】標高（入力）"))</f>
        <v>0.59999999999860165</v>
      </c>
      <c r="BI124" s="624"/>
      <c r="BJ124" s="598" t="str">
        <f t="shared" ca="1" si="32"/>
        <v>-</v>
      </c>
      <c r="BK124" s="604">
        <f ca="1">SUM(K124:BI124)</f>
        <v>99.899999999999423</v>
      </c>
      <c r="BL124" s="600" t="str">
        <f ca="1">INDIRECT(ADDRESS(MATCH($B124,'【別紙1】標高（入力）'!$B:$B,0),'【別紙1】標高（入力）'!$N$2,4,TRUE,"【別紙1】標高（入力）"))</f>
        <v>R4</v>
      </c>
      <c r="BM124" s="340">
        <f ca="1">INDIRECT(ADDRESS(MATCH($B124,'【別紙1】標高（入力）'!$B:$B,0),'【別紙1】標高（入力）'!$O$2,4,TRUE,"【別紙1】標高（入力）"))</f>
        <v>16.7468</v>
      </c>
      <c r="BN124" s="392"/>
    </row>
    <row r="125" spans="1:66" ht="15.95" customHeight="1">
      <c r="A125" s="214">
        <v>810</v>
      </c>
      <c r="B125" s="215" t="s">
        <v>507</v>
      </c>
      <c r="C125" s="216" t="s">
        <v>196</v>
      </c>
      <c r="D125" s="217" t="s">
        <v>661</v>
      </c>
      <c r="E125" s="218" t="s">
        <v>215</v>
      </c>
      <c r="F125" s="219" t="s">
        <v>9</v>
      </c>
      <c r="G125" s="220" t="s">
        <v>10</v>
      </c>
      <c r="H125" s="220" t="s">
        <v>541</v>
      </c>
      <c r="I125" s="220" t="s">
        <v>54</v>
      </c>
      <c r="J125" s="220" t="s">
        <v>270</v>
      </c>
      <c r="K125" s="224"/>
      <c r="L125" s="228"/>
      <c r="M125" s="221"/>
      <c r="N125" s="136" t="s">
        <v>636</v>
      </c>
      <c r="O125" s="127">
        <v>21.7</v>
      </c>
      <c r="P125" s="124">
        <v>40.9</v>
      </c>
      <c r="Q125" s="124">
        <v>25.7</v>
      </c>
      <c r="R125" s="124">
        <v>24.8</v>
      </c>
      <c r="S125" s="124">
        <v>-2.1</v>
      </c>
      <c r="T125" s="123">
        <v>57.7</v>
      </c>
      <c r="U125" s="411" t="s">
        <v>1270</v>
      </c>
      <c r="V125" s="411" t="s">
        <v>1270</v>
      </c>
      <c r="W125" s="135" t="s">
        <v>679</v>
      </c>
      <c r="X125" s="122"/>
      <c r="Y125" s="122"/>
      <c r="Z125" s="122"/>
      <c r="AA125" s="122"/>
      <c r="AB125" s="127">
        <v>83</v>
      </c>
      <c r="AC125" s="136" t="s">
        <v>1273</v>
      </c>
      <c r="AD125" s="122"/>
      <c r="AE125" s="127">
        <v>48.5</v>
      </c>
      <c r="AF125" s="136" t="s">
        <v>1273</v>
      </c>
      <c r="AG125" s="122"/>
      <c r="AH125" s="122">
        <v>51.6</v>
      </c>
      <c r="AI125" s="139" t="s">
        <v>685</v>
      </c>
      <c r="AJ125" s="122"/>
      <c r="AK125" s="122"/>
      <c r="AL125" s="122"/>
      <c r="AM125" s="122"/>
      <c r="AN125" s="121">
        <v>19.600000000000001</v>
      </c>
      <c r="AO125" s="139" t="s">
        <v>637</v>
      </c>
      <c r="AP125" s="121">
        <v>18.899999999999999</v>
      </c>
      <c r="AQ125" s="135" t="s">
        <v>1070</v>
      </c>
      <c r="AR125" s="122"/>
      <c r="AS125" s="122"/>
      <c r="AT125" s="122"/>
      <c r="AU125" s="122">
        <v>7.9</v>
      </c>
      <c r="AV125" s="139" t="s">
        <v>1071</v>
      </c>
      <c r="AW125" s="122"/>
      <c r="AX125" s="122"/>
      <c r="AY125" s="122">
        <v>0.3</v>
      </c>
      <c r="AZ125" s="139" t="s">
        <v>1069</v>
      </c>
      <c r="BA125" s="460">
        <v>1</v>
      </c>
      <c r="BB125" s="225"/>
      <c r="BC125" s="228"/>
      <c r="BD125" s="228"/>
      <c r="BE125" s="228"/>
      <c r="BF125" s="228"/>
      <c r="BG125" s="228"/>
      <c r="BH125" s="625"/>
      <c r="BI125" s="570"/>
      <c r="BJ125" s="599" t="str">
        <f t="shared" si="22"/>
        <v>-</v>
      </c>
      <c r="BK125" s="605">
        <f t="shared" si="23"/>
        <v>399.5</v>
      </c>
      <c r="BL125" s="601" t="str">
        <f ca="1">INDIRECT(ADDRESS(MATCH($B125,'【別紙1】標高（入力）'!$B:$B,0),'【別紙1】標高（入力）'!$N$2,4,TRUE,"【別紙1】標高（入力）"))</f>
        <v>H27</v>
      </c>
      <c r="BM125" s="341">
        <f ca="1">INDIRECT(ADDRESS(MATCH($B125,'【別紙1】標高（入力）'!$B:$B,0),'【別紙1】標高（入力）'!$O$2,4,TRUE,"【別紙1】標高（入力）"))</f>
        <v>7.6492000000000004</v>
      </c>
      <c r="BN125" s="393" t="s">
        <v>1378</v>
      </c>
    </row>
    <row r="126" spans="1:66" ht="15.95" customHeight="1">
      <c r="A126" s="119">
        <v>811</v>
      </c>
      <c r="B126" s="107" t="s">
        <v>509</v>
      </c>
      <c r="C126" s="114" t="s">
        <v>196</v>
      </c>
      <c r="D126" s="110" t="s">
        <v>325</v>
      </c>
      <c r="E126" s="109" t="s">
        <v>1436</v>
      </c>
      <c r="F126" s="111" t="s">
        <v>9</v>
      </c>
      <c r="G126" s="112" t="s">
        <v>10</v>
      </c>
      <c r="H126" s="112" t="s">
        <v>64</v>
      </c>
      <c r="I126" s="112" t="s">
        <v>54</v>
      </c>
      <c r="J126" s="112" t="s">
        <v>270</v>
      </c>
      <c r="K126" s="224"/>
      <c r="L126" s="228"/>
      <c r="M126" s="221"/>
      <c r="N126" s="136" t="s">
        <v>636</v>
      </c>
      <c r="O126" s="127">
        <v>67.400000000000006</v>
      </c>
      <c r="P126" s="124">
        <v>62.3</v>
      </c>
      <c r="Q126" s="124">
        <v>38.799999999999997</v>
      </c>
      <c r="R126" s="124">
        <v>24.3</v>
      </c>
      <c r="S126" s="124">
        <v>6.3</v>
      </c>
      <c r="T126" s="123">
        <v>28.1</v>
      </c>
      <c r="U126" s="411" t="s">
        <v>47</v>
      </c>
      <c r="V126" s="127">
        <v>65.099999999999994</v>
      </c>
      <c r="W126" s="136" t="s">
        <v>95</v>
      </c>
      <c r="X126" s="122"/>
      <c r="Y126" s="122"/>
      <c r="Z126" s="122"/>
      <c r="AA126" s="122"/>
      <c r="AB126" s="122"/>
      <c r="AC126" s="135"/>
      <c r="AD126" s="122"/>
      <c r="AE126" s="122"/>
      <c r="AF126" s="122"/>
      <c r="AG126" s="122"/>
      <c r="AH126" s="122">
        <v>254.1</v>
      </c>
      <c r="AI126" s="139" t="s">
        <v>525</v>
      </c>
      <c r="AJ126" s="122"/>
      <c r="AK126" s="127">
        <v>26.4</v>
      </c>
      <c r="AL126" s="136" t="s">
        <v>525</v>
      </c>
      <c r="AM126" s="122"/>
      <c r="AN126" s="121">
        <v>17.899999999999999</v>
      </c>
      <c r="AO126" s="139" t="s">
        <v>1072</v>
      </c>
      <c r="AP126" s="122"/>
      <c r="AQ126" s="122"/>
      <c r="AR126" s="122"/>
      <c r="AS126" s="122"/>
      <c r="AT126" s="122">
        <v>58.1</v>
      </c>
      <c r="AU126" s="125">
        <v>-1.2</v>
      </c>
      <c r="AV126" s="139" t="s">
        <v>1071</v>
      </c>
      <c r="AW126" s="122"/>
      <c r="AX126" s="122"/>
      <c r="AY126" s="122">
        <v>12.8</v>
      </c>
      <c r="AZ126" s="139" t="s">
        <v>1069</v>
      </c>
      <c r="BA126" s="460">
        <v>6</v>
      </c>
      <c r="BB126" s="139" t="s">
        <v>1068</v>
      </c>
      <c r="BC126" s="122"/>
      <c r="BD126" s="122">
        <f ca="1">INDIRECT(ADDRESS(MATCH($B126,'【別紙1】標高（入力）'!$B:$B,0),'【別紙1】標高（入力）'!AD$2,4,TRUE,"【別紙1】標高（入力）"))</f>
        <v>8.9000000000005741</v>
      </c>
      <c r="BE126" s="139" t="s">
        <v>1333</v>
      </c>
      <c r="BF126" s="121">
        <f ca="1">INDIRECT(ADDRESS(MATCH($B126,'【別紙1】標高（入力）'!$B:$B,0),'【別紙1】標高（入力）'!AF$2,4,TRUE,"【別紙1】標高（入力）"))</f>
        <v>15.799999999999592</v>
      </c>
      <c r="BG126" s="139" t="s">
        <v>1384</v>
      </c>
      <c r="BH126" s="121">
        <f ca="1">INDIRECT(ADDRESS(MATCH($B126,'【別紙1】標高（入力）'!$B:$B,0),'【別紙1】標高（入力）'!AH$2,4,TRUE,"【別紙1】標高（入力）"))</f>
        <v>3.5999999999996035</v>
      </c>
      <c r="BI126" s="624"/>
      <c r="BJ126" s="598" t="str">
        <f t="shared" ca="1" si="32"/>
        <v>-</v>
      </c>
      <c r="BK126" s="604">
        <f ca="1">SUM(K126:BI126)</f>
        <v>694.69999999999959</v>
      </c>
      <c r="BL126" s="600" t="str">
        <f ca="1">INDIRECT(ADDRESS(MATCH($B126,'【別紙1】標高（入力）'!$B:$B,0),'【別紙1】標高（入力）'!$N$2,4,TRUE,"【別紙1】標高（入力）"))</f>
        <v>R4</v>
      </c>
      <c r="BM126" s="340">
        <f ca="1">INDIRECT(ADDRESS(MATCH($B126,'【別紙1】標高（入力）'!$B:$B,0),'【別紙1】標高（入力）'!$O$2,4,TRUE,"【別紙1】標高（入力）"))</f>
        <v>6.4301000000000004</v>
      </c>
      <c r="BN126" s="392"/>
    </row>
    <row r="127" spans="1:66" s="231" customFormat="1" ht="15.95" customHeight="1">
      <c r="A127" s="214">
        <v>812</v>
      </c>
      <c r="B127" s="215" t="s">
        <v>510</v>
      </c>
      <c r="C127" s="216" t="s">
        <v>196</v>
      </c>
      <c r="D127" s="217" t="s">
        <v>325</v>
      </c>
      <c r="E127" s="218" t="s">
        <v>1437</v>
      </c>
      <c r="F127" s="219" t="s">
        <v>9</v>
      </c>
      <c r="G127" s="220" t="s">
        <v>10</v>
      </c>
      <c r="H127" s="220" t="s">
        <v>64</v>
      </c>
      <c r="I127" s="220" t="s">
        <v>54</v>
      </c>
      <c r="J127" s="220" t="s">
        <v>270</v>
      </c>
      <c r="K127" s="224"/>
      <c r="L127" s="228"/>
      <c r="M127" s="221"/>
      <c r="N127" s="136" t="s">
        <v>636</v>
      </c>
      <c r="O127" s="127">
        <v>13.3</v>
      </c>
      <c r="P127" s="124">
        <v>14.8</v>
      </c>
      <c r="Q127" s="124">
        <v>7.1</v>
      </c>
      <c r="R127" s="124">
        <v>1.2</v>
      </c>
      <c r="S127" s="124">
        <v>-1.3</v>
      </c>
      <c r="T127" s="124">
        <v>11.3</v>
      </c>
      <c r="U127" s="124">
        <v>2.7</v>
      </c>
      <c r="V127" s="124">
        <v>14.2</v>
      </c>
      <c r="W127" s="136" t="s">
        <v>95</v>
      </c>
      <c r="X127" s="122"/>
      <c r="Y127" s="122"/>
      <c r="Z127" s="122"/>
      <c r="AA127" s="122"/>
      <c r="AB127" s="122"/>
      <c r="AC127" s="135"/>
      <c r="AD127" s="122"/>
      <c r="AE127" s="122"/>
      <c r="AF127" s="122"/>
      <c r="AG127" s="122"/>
      <c r="AH127" s="122">
        <v>59.8</v>
      </c>
      <c r="AI127" s="225"/>
      <c r="AJ127" s="228"/>
      <c r="AK127" s="228"/>
      <c r="AL127" s="228"/>
      <c r="AM127" s="228"/>
      <c r="AN127" s="232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462"/>
      <c r="BB127" s="228"/>
      <c r="BC127" s="228"/>
      <c r="BD127" s="228"/>
      <c r="BE127" s="228"/>
      <c r="BF127" s="228"/>
      <c r="BG127" s="228"/>
      <c r="BH127" s="625"/>
      <c r="BI127" s="570"/>
      <c r="BJ127" s="599" t="str">
        <f t="shared" si="22"/>
        <v>-</v>
      </c>
      <c r="BK127" s="605">
        <f t="shared" si="23"/>
        <v>123.10000000000001</v>
      </c>
      <c r="BL127" s="603" t="s">
        <v>1188</v>
      </c>
      <c r="BM127" s="344" t="s">
        <v>1189</v>
      </c>
      <c r="BN127" s="393" t="s">
        <v>723</v>
      </c>
    </row>
    <row r="128" spans="1:66" ht="15.95" customHeight="1">
      <c r="A128" s="119">
        <v>813</v>
      </c>
      <c r="B128" s="107" t="s">
        <v>1181</v>
      </c>
      <c r="C128" s="114" t="s">
        <v>196</v>
      </c>
      <c r="D128" s="110" t="s">
        <v>325</v>
      </c>
      <c r="E128" s="109" t="s">
        <v>1438</v>
      </c>
      <c r="F128" s="111" t="s">
        <v>9</v>
      </c>
      <c r="G128" s="112" t="s">
        <v>555</v>
      </c>
      <c r="H128" s="112" t="s">
        <v>64</v>
      </c>
      <c r="I128" s="112" t="s">
        <v>54</v>
      </c>
      <c r="J128" s="112" t="s">
        <v>270</v>
      </c>
      <c r="K128" s="224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138" t="s">
        <v>289</v>
      </c>
      <c r="AQ128" s="228"/>
      <c r="AR128" s="228"/>
      <c r="AS128" s="229"/>
      <c r="AT128" s="139" t="s">
        <v>314</v>
      </c>
      <c r="AU128" s="126">
        <v>0.9</v>
      </c>
      <c r="AV128" s="139" t="s">
        <v>1071</v>
      </c>
      <c r="AW128" s="122"/>
      <c r="AX128" s="122"/>
      <c r="AY128" s="122">
        <v>16.8</v>
      </c>
      <c r="AZ128" s="125" t="s">
        <v>1186</v>
      </c>
      <c r="BA128" s="460"/>
      <c r="BB128" s="122"/>
      <c r="BC128" s="122"/>
      <c r="BD128" s="122">
        <f ca="1">INDIRECT(ADDRESS(MATCH($B128,'【別紙1】標高（入力）'!$B:$B,0),'【別紙1】標高（入力）'!AD$2,4,TRUE,"【別紙1】標高（入力）"))</f>
        <v>14.600000000000612</v>
      </c>
      <c r="BE128" s="139" t="s">
        <v>1383</v>
      </c>
      <c r="BF128" s="122" t="str">
        <f ca="1">INDIRECT(ADDRESS(MATCH($B128,'【別紙1】標高（入力）'!$B:$B,0),'【別紙1】標高（入力）'!AF$2,4,TRUE,"【別紙1】標高（入力）"))</f>
        <v/>
      </c>
      <c r="BG128" s="122" t="str">
        <f ca="1">INDIRECT(ADDRESS(MATCH($B128,'【別紙1】標高（入力）'!$B:$B,0),'【別紙1】標高（入力）'!AG$2,4,TRUE,"【別紙1】標高（入力）"))</f>
        <v/>
      </c>
      <c r="BH128" s="121">
        <f ca="1">INDIRECT(ADDRESS(MATCH($B128,'【別紙1】標高（入力）'!$B:$B,0),'【別紙1】標高（入力）'!AH$2,4,TRUE,"【別紙1】標高（入力）"))</f>
        <v>21.700000000000053</v>
      </c>
      <c r="BI128" s="624"/>
      <c r="BJ128" s="598" t="str">
        <f t="shared" ca="1" si="32"/>
        <v>-</v>
      </c>
      <c r="BK128" s="604">
        <f t="shared" ref="BK128:BK132" ca="1" si="36">SUM(K128:BI128)</f>
        <v>54.000000000000661</v>
      </c>
      <c r="BL128" s="600" t="str">
        <f ca="1">INDIRECT(ADDRESS(MATCH($B128,'【別紙1】標高（入力）'!$B:$B,0),'【別紙1】標高（入力）'!$N$2,4,TRUE,"【別紙1】標高（入力）"))</f>
        <v>R4</v>
      </c>
      <c r="BM128" s="340">
        <f ca="1">INDIRECT(ADDRESS(MATCH($B128,'【別紙1】標高（入力）'!$B:$B,0),'【別紙1】標高（入力）'!$O$2,4,TRUE,"【別紙1】標高（入力）"))</f>
        <v>4.2455999999999996</v>
      </c>
      <c r="BN128" s="392"/>
    </row>
    <row r="129" spans="1:66" ht="15.95" customHeight="1">
      <c r="A129" s="119">
        <v>814</v>
      </c>
      <c r="B129" s="107" t="s">
        <v>1182</v>
      </c>
      <c r="C129" s="114" t="s">
        <v>196</v>
      </c>
      <c r="D129" s="110" t="s">
        <v>704</v>
      </c>
      <c r="E129" s="109" t="s">
        <v>1439</v>
      </c>
      <c r="F129" s="111" t="s">
        <v>9</v>
      </c>
      <c r="G129" s="112" t="s">
        <v>343</v>
      </c>
      <c r="H129" s="112" t="s">
        <v>541</v>
      </c>
      <c r="I129" s="112" t="s">
        <v>141</v>
      </c>
      <c r="J129" s="112" t="s">
        <v>547</v>
      </c>
      <c r="K129" s="224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138" t="s">
        <v>289</v>
      </c>
      <c r="AR129" s="228"/>
      <c r="AS129" s="228"/>
      <c r="AT129" s="228"/>
      <c r="AU129" s="138" t="s">
        <v>256</v>
      </c>
      <c r="AV129" s="135" t="s">
        <v>1072</v>
      </c>
      <c r="AW129" s="122"/>
      <c r="AX129" s="122"/>
      <c r="AY129" s="122"/>
      <c r="AZ129" s="122"/>
      <c r="BA129" s="459">
        <v>9.9</v>
      </c>
      <c r="BB129" s="135" t="s">
        <v>1336</v>
      </c>
      <c r="BC129" s="122"/>
      <c r="BD129" s="122" t="str">
        <f ca="1">INDIRECT(ADDRESS(MATCH($B129,'【別紙1】標高（入力）'!$B:$B,0),'【別紙1】標高（入力）'!AD$2,4,TRUE,"【別紙1】標高（入力）"))</f>
        <v/>
      </c>
      <c r="BE129" s="122" t="str">
        <f ca="1">INDIRECT(ADDRESS(MATCH($B129,'【別紙1】標高（入力）'!$B:$B,0),'【別紙1】標高（入力）'!AE$2,4,TRUE,"【別紙1】標高（入力）"))</f>
        <v/>
      </c>
      <c r="BF129" s="121">
        <f ca="1">INDIRECT(ADDRESS(MATCH($B129,'【別紙1】標高（入力）'!$B:$B,0),'【別紙1】標高（入力）'!AF$2,4,TRUE,"【別紙1】標高（入力）"))</f>
        <v>3.7999999999982492</v>
      </c>
      <c r="BG129" s="122" t="str">
        <f ca="1">INDIRECT(ADDRESS(MATCH($B129,'【別紙1】標高（入力）'!$B:$B,0),'【別紙1】標高（入力）'!AG$2,4,TRUE,"【別紙1】標高（入力）"))</f>
        <v/>
      </c>
      <c r="BH129" s="122" t="str">
        <f ca="1">INDIRECT(ADDRESS(MATCH($B129,'【別紙1】標高（入力）'!$B:$B,0),'【別紙1】標高（入力）'!AH$2,4,TRUE,"【別紙1】標高（入力）"))</f>
        <v/>
      </c>
      <c r="BI129" s="567"/>
      <c r="BJ129" s="598" t="str">
        <f t="shared" ca="1" si="32"/>
        <v>-</v>
      </c>
      <c r="BK129" s="604">
        <f t="shared" ca="1" si="36"/>
        <v>13.69999999999825</v>
      </c>
      <c r="BL129" s="600" t="str">
        <f ca="1">INDIRECT(ADDRESS(MATCH($B129,'【別紙1】標高（入力）'!$B:$B,0),'【別紙1】標高（入力）'!$N$2,4,TRUE,"【別紙1】標高（入力）"))</f>
        <v>R2</v>
      </c>
      <c r="BM129" s="340">
        <f ca="1">INDIRECT(ADDRESS(MATCH($B129,'【別紙1】標高（入力）'!$B:$B,0),'【別紙1】標高（入力）'!$O$2,4,TRUE,"【別紙1】標高（入力）"))</f>
        <v>38.540500000000002</v>
      </c>
      <c r="BN129" s="392"/>
    </row>
    <row r="130" spans="1:66" ht="15.95" customHeight="1">
      <c r="A130" s="119">
        <v>815</v>
      </c>
      <c r="B130" s="107" t="s">
        <v>514</v>
      </c>
      <c r="C130" s="114" t="s">
        <v>196</v>
      </c>
      <c r="D130" s="110" t="s">
        <v>642</v>
      </c>
      <c r="E130" s="109" t="s">
        <v>1440</v>
      </c>
      <c r="F130" s="111" t="s">
        <v>9</v>
      </c>
      <c r="G130" s="112" t="s">
        <v>345</v>
      </c>
      <c r="H130" s="112" t="s">
        <v>541</v>
      </c>
      <c r="I130" s="112" t="s">
        <v>141</v>
      </c>
      <c r="J130" s="112" t="s">
        <v>547</v>
      </c>
      <c r="K130" s="224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138" t="s">
        <v>289</v>
      </c>
      <c r="AS130" s="228"/>
      <c r="AT130" s="228"/>
      <c r="AU130" s="138" t="s">
        <v>256</v>
      </c>
      <c r="AV130" s="122">
        <v>1.5</v>
      </c>
      <c r="AW130" s="139" t="s">
        <v>1070</v>
      </c>
      <c r="AX130" s="122"/>
      <c r="AY130" s="122"/>
      <c r="AZ130" s="122"/>
      <c r="BA130" s="459">
        <v>4.4000000000000004</v>
      </c>
      <c r="BB130" s="135" t="s">
        <v>1336</v>
      </c>
      <c r="BC130" s="122"/>
      <c r="BD130" s="122" t="str">
        <f ca="1">INDIRECT(ADDRESS(MATCH($B130,'【別紙1】標高（入力）'!$B:$B,0),'【別紙1】標高（入力）'!AD$2,4,TRUE,"【別紙1】標高（入力）"))</f>
        <v/>
      </c>
      <c r="BE130" s="122" t="str">
        <f ca="1">INDIRECT(ADDRESS(MATCH($B130,'【別紙1】標高（入力）'!$B:$B,0),'【別紙1】標高（入力）'!AE$2,4,TRUE,"【別紙1】標高（入力）"))</f>
        <v/>
      </c>
      <c r="BF130" s="121">
        <f ca="1">INDIRECT(ADDRESS(MATCH($B130,'【別紙1】標高（入力）'!$B:$B,0),'【別紙1】標高（入力）'!AF$2,4,TRUE,"【別紙1】標高（入力）"))</f>
        <v>1.300000000000523</v>
      </c>
      <c r="BG130" s="139" t="s">
        <v>1384</v>
      </c>
      <c r="BH130" s="121">
        <f ca="1">INDIRECT(ADDRESS(MATCH($B130,'【別紙1】標高（入力）'!$B:$B,0),'【別紙1】標高（入力）'!AH$2,4,TRUE,"【別紙1】標高（入力）"))</f>
        <v>-0.49999999999883471</v>
      </c>
      <c r="BI130" s="624"/>
      <c r="BJ130" s="598" t="str">
        <f t="shared" ca="1" si="32"/>
        <v>-</v>
      </c>
      <c r="BK130" s="604">
        <f t="shared" ca="1" si="36"/>
        <v>6.7000000000016886</v>
      </c>
      <c r="BL130" s="600" t="str">
        <f ca="1">INDIRECT(ADDRESS(MATCH($B130,'【別紙1】標高（入力）'!$B:$B,0),'【別紙1】標高（入力）'!$N$2,4,TRUE,"【別紙1】標高（入力）"))</f>
        <v>R4</v>
      </c>
      <c r="BM130" s="340">
        <f ca="1">INDIRECT(ADDRESS(MATCH($B130,'【別紙1】標高（入力）'!$B:$B,0),'【別紙1】標高（入力）'!$O$2,4,TRUE,"【別紙1】標高（入力）"))</f>
        <v>31.727799999999998</v>
      </c>
      <c r="BN130" s="392"/>
    </row>
    <row r="131" spans="1:66" ht="15.95" customHeight="1">
      <c r="A131" s="119">
        <v>816</v>
      </c>
      <c r="B131" s="591">
        <v>3023</v>
      </c>
      <c r="C131" s="114" t="s">
        <v>196</v>
      </c>
      <c r="D131" s="596" t="s">
        <v>1130</v>
      </c>
      <c r="E131" s="109" t="s">
        <v>1441</v>
      </c>
      <c r="F131" s="111" t="s">
        <v>287</v>
      </c>
      <c r="G131" s="112" t="s">
        <v>543</v>
      </c>
      <c r="H131" s="112" t="s">
        <v>541</v>
      </c>
      <c r="I131" s="112" t="s">
        <v>544</v>
      </c>
      <c r="J131" s="112" t="s">
        <v>270</v>
      </c>
      <c r="K131" s="224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32"/>
      <c r="AJ131" s="228"/>
      <c r="AK131" s="228"/>
      <c r="AL131" s="228"/>
      <c r="AM131" s="228"/>
      <c r="AN131" s="228"/>
      <c r="AO131" s="228"/>
      <c r="AP131" s="232"/>
      <c r="AQ131" s="228"/>
      <c r="AR131" s="232"/>
      <c r="AS131" s="228"/>
      <c r="AT131" s="228"/>
      <c r="AU131" s="228"/>
      <c r="AV131" s="228"/>
      <c r="AW131" s="228"/>
      <c r="AX131" s="232"/>
      <c r="AY131" s="228"/>
      <c r="AZ131" s="228"/>
      <c r="BA131" s="462"/>
      <c r="BB131" s="228"/>
      <c r="BC131" s="228"/>
      <c r="BD131" s="139" t="s">
        <v>530</v>
      </c>
      <c r="BE131" s="139" t="s">
        <v>1333</v>
      </c>
      <c r="BF131" s="121">
        <f ca="1">INDIRECT(ADDRESS(MATCH($B131,'【別紙1】標高（入力）'!$B:$B,0),'【別紙1】標高（入力）'!AF$2,4,TRUE,"【別紙1】標高（入力）"))</f>
        <v>3.5999999999987153</v>
      </c>
      <c r="BG131" s="139" t="s">
        <v>1384</v>
      </c>
      <c r="BH131" s="121">
        <f ca="1">INDIRECT(ADDRESS(MATCH($B131,'【別紙1】標高（入力）'!$B:$B,0),'【別紙1】標高（入力）'!AH$2,4,TRUE,"【別紙1】標高（入力）"))</f>
        <v>-0.70000000000014495</v>
      </c>
      <c r="BI131" s="624"/>
      <c r="BJ131" s="598" t="str">
        <f t="shared" ca="1" si="32"/>
        <v>-</v>
      </c>
      <c r="BK131" s="604">
        <f t="shared" ca="1" si="36"/>
        <v>2.8999999999985704</v>
      </c>
      <c r="BL131" s="600" t="str">
        <f ca="1">INDIRECT(ADDRESS(MATCH($B131,'【別紙1】標高（入力）'!$B:$B,0),'【別紙1】標高（入力）'!$N$2,4,TRUE,"【別紙1】標高（入力）"))</f>
        <v>R4</v>
      </c>
      <c r="BM131" s="340">
        <f ca="1">INDIRECT(ADDRESS(MATCH($B131,'【別紙1】標高（入力）'!$B:$B,0),'【別紙1】標高（入力）'!$O$2,4,TRUE,"【別紙1】標高（入力）"))</f>
        <v>9.8366000000000007</v>
      </c>
      <c r="BN131" s="392"/>
    </row>
    <row r="132" spans="1:66" ht="15.95" customHeight="1">
      <c r="A132" s="119">
        <v>901</v>
      </c>
      <c r="B132" s="107" t="s">
        <v>355</v>
      </c>
      <c r="C132" s="114" t="s">
        <v>217</v>
      </c>
      <c r="D132" s="110" t="s">
        <v>347</v>
      </c>
      <c r="E132" s="109" t="s">
        <v>219</v>
      </c>
      <c r="F132" s="111" t="s">
        <v>9</v>
      </c>
      <c r="G132" s="112" t="s">
        <v>31</v>
      </c>
      <c r="H132" s="112" t="s">
        <v>64</v>
      </c>
      <c r="I132" s="112" t="s">
        <v>220</v>
      </c>
      <c r="J132" s="112" t="s">
        <v>264</v>
      </c>
      <c r="K132" s="224"/>
      <c r="L132" s="228"/>
      <c r="M132" s="228"/>
      <c r="N132" s="228"/>
      <c r="O132" s="228"/>
      <c r="P132" s="221"/>
      <c r="Q132" s="124">
        <v>3.5</v>
      </c>
      <c r="R132" s="124">
        <v>-3.1</v>
      </c>
      <c r="S132" s="136" t="s">
        <v>636</v>
      </c>
      <c r="T132" s="127">
        <v>-2.7</v>
      </c>
      <c r="U132" s="136" t="s">
        <v>636</v>
      </c>
      <c r="V132" s="127">
        <v>6.1</v>
      </c>
      <c r="W132" s="136" t="s">
        <v>95</v>
      </c>
      <c r="X132" s="122"/>
      <c r="Y132" s="122"/>
      <c r="Z132" s="122"/>
      <c r="AA132" s="122"/>
      <c r="AB132" s="122"/>
      <c r="AC132" s="135"/>
      <c r="AD132" s="122"/>
      <c r="AE132" s="122"/>
      <c r="AF132" s="122"/>
      <c r="AG132" s="122"/>
      <c r="AH132" s="121">
        <v>-2.4</v>
      </c>
      <c r="AI132" s="139" t="s">
        <v>695</v>
      </c>
      <c r="AJ132" s="122"/>
      <c r="AK132" s="122"/>
      <c r="AL132" s="122"/>
      <c r="AM132" s="122"/>
      <c r="AN132" s="122"/>
      <c r="AO132" s="122">
        <v>0.3</v>
      </c>
      <c r="AP132" s="139" t="s">
        <v>636</v>
      </c>
      <c r="AQ132" s="122">
        <v>4.5</v>
      </c>
      <c r="AR132" s="139" t="s">
        <v>1072</v>
      </c>
      <c r="AS132" s="122"/>
      <c r="AT132" s="122"/>
      <c r="AU132" s="122"/>
      <c r="AV132" s="122"/>
      <c r="AW132" s="122">
        <v>-1</v>
      </c>
      <c r="AX132" s="139" t="s">
        <v>1070</v>
      </c>
      <c r="AY132" s="122"/>
      <c r="AZ132" s="122"/>
      <c r="BA132" s="460"/>
      <c r="BB132" s="121">
        <v>0.9</v>
      </c>
      <c r="BC132" s="139" t="s">
        <v>1070</v>
      </c>
      <c r="BD132" s="122"/>
      <c r="BE132" s="122"/>
      <c r="BF132" s="122" t="str">
        <f ca="1">INDIRECT(ADDRESS(MATCH($B132,'【別紙1】標高（入力）'!$B:$B,0),'【別紙1】標高（入力）'!AF$2,4,TRUE,"【別紙1】標高（入力）"))</f>
        <v/>
      </c>
      <c r="BG132" s="121">
        <f ca="1">INDIRECT(ADDRESS(MATCH($B132,'【別紙1】標高（入力）'!$B:$B,0),'【別紙1】標高（入力）'!AG$2,4,TRUE,"【別紙1】標高（入力）"))</f>
        <v>-5.3000000000000824</v>
      </c>
      <c r="BH132" s="125" t="str">
        <f ca="1">INDIRECT(ADDRESS(MATCH($B132,'【別紙1】標高（入力）'!$B:$B,0),'【別紙1】標高（入力）'!AH$2,4,TRUE,"【別紙1】標高（入力）"))</f>
        <v/>
      </c>
      <c r="BI132" s="624"/>
      <c r="BJ132" s="598" t="str">
        <f t="shared" ca="1" si="32"/>
        <v>-</v>
      </c>
      <c r="BK132" s="604">
        <f t="shared" ca="1" si="36"/>
        <v>0.79999999999991722</v>
      </c>
      <c r="BL132" s="600" t="str">
        <f ca="1">INDIRECT(ADDRESS(MATCH($B132,'【別紙1】標高（入力）'!$B:$B,0),'【別紙1】標高（入力）'!$N$2,4,TRUE,"【別紙1】標高（入力）"))</f>
        <v>R3</v>
      </c>
      <c r="BM132" s="340">
        <f ca="1">INDIRECT(ADDRESS(MATCH($B132,'【別紙1】標高（入力）'!$B:$B,0),'【別紙1】標高（入力）'!$O$2,4,TRUE,"【別紙1】標高（入力）"))</f>
        <v>5.0468000000000002</v>
      </c>
      <c r="BN132" s="392"/>
    </row>
    <row r="133" spans="1:66" s="231" customFormat="1" ht="15.95" customHeight="1">
      <c r="A133" s="214">
        <v>902</v>
      </c>
      <c r="B133" s="215" t="s">
        <v>1183</v>
      </c>
      <c r="C133" s="216" t="s">
        <v>217</v>
      </c>
      <c r="D133" s="217" t="s">
        <v>341</v>
      </c>
      <c r="E133" s="218" t="s">
        <v>299</v>
      </c>
      <c r="F133" s="219" t="s">
        <v>9</v>
      </c>
      <c r="G133" s="220" t="s">
        <v>31</v>
      </c>
      <c r="H133" s="220" t="s">
        <v>64</v>
      </c>
      <c r="I133" s="220" t="s">
        <v>220</v>
      </c>
      <c r="J133" s="220" t="s">
        <v>264</v>
      </c>
      <c r="K133" s="224"/>
      <c r="L133" s="228"/>
      <c r="M133" s="228"/>
      <c r="N133" s="228"/>
      <c r="O133" s="228"/>
      <c r="P133" s="221"/>
      <c r="Q133" s="124">
        <v>6.3</v>
      </c>
      <c r="R133" s="124">
        <v>-1.4</v>
      </c>
      <c r="S133" s="136" t="s">
        <v>636</v>
      </c>
      <c r="T133" s="127">
        <v>-4.5999999999999996</v>
      </c>
      <c r="U133" s="136" t="s">
        <v>636</v>
      </c>
      <c r="V133" s="127">
        <v>7.5</v>
      </c>
      <c r="W133" s="233" t="s">
        <v>20</v>
      </c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462"/>
      <c r="BB133" s="228"/>
      <c r="BC133" s="228"/>
      <c r="BD133" s="228"/>
      <c r="BE133" s="228"/>
      <c r="BF133" s="228"/>
      <c r="BG133" s="228"/>
      <c r="BH133" s="625"/>
      <c r="BI133" s="570"/>
      <c r="BJ133" s="599" t="str">
        <f t="shared" si="22"/>
        <v>-</v>
      </c>
      <c r="BK133" s="605">
        <f t="shared" si="23"/>
        <v>7.8000000000000007</v>
      </c>
      <c r="BL133" s="603" t="s">
        <v>1188</v>
      </c>
      <c r="BM133" s="344" t="s">
        <v>1189</v>
      </c>
      <c r="BN133" s="393" t="s">
        <v>729</v>
      </c>
    </row>
    <row r="134" spans="1:66" ht="15.95" customHeight="1">
      <c r="A134" s="119">
        <v>903</v>
      </c>
      <c r="B134" s="107" t="s">
        <v>357</v>
      </c>
      <c r="C134" s="114" t="s">
        <v>217</v>
      </c>
      <c r="D134" s="596" t="s">
        <v>1396</v>
      </c>
      <c r="E134" s="109" t="s">
        <v>222</v>
      </c>
      <c r="F134" s="111" t="s">
        <v>70</v>
      </c>
      <c r="G134" s="112" t="s">
        <v>223</v>
      </c>
      <c r="H134" s="112" t="s">
        <v>541</v>
      </c>
      <c r="I134" s="112" t="s">
        <v>220</v>
      </c>
      <c r="J134" s="112" t="s">
        <v>264</v>
      </c>
      <c r="K134" s="224"/>
      <c r="L134" s="228"/>
      <c r="M134" s="228"/>
      <c r="N134" s="228"/>
      <c r="O134" s="221"/>
      <c r="P134" s="124">
        <v>1.6</v>
      </c>
      <c r="Q134" s="124">
        <v>3.7</v>
      </c>
      <c r="R134" s="124">
        <v>3.2</v>
      </c>
      <c r="S134" s="124">
        <v>-4.7</v>
      </c>
      <c r="T134" s="124">
        <v>1.4</v>
      </c>
      <c r="U134" s="124">
        <v>2.8</v>
      </c>
      <c r="V134" s="124">
        <v>4.8</v>
      </c>
      <c r="W134" s="136" t="s">
        <v>679</v>
      </c>
      <c r="X134" s="122"/>
      <c r="Y134" s="122"/>
      <c r="Z134" s="122"/>
      <c r="AA134" s="122"/>
      <c r="AB134" s="127">
        <v>1.8</v>
      </c>
      <c r="AC134" s="136" t="s">
        <v>1273</v>
      </c>
      <c r="AD134" s="122"/>
      <c r="AE134" s="127">
        <v>16.899999999999999</v>
      </c>
      <c r="AF134" s="136" t="s">
        <v>1273</v>
      </c>
      <c r="AG134" s="122"/>
      <c r="AH134" s="122">
        <v>3.8</v>
      </c>
      <c r="AI134" s="139" t="s">
        <v>695</v>
      </c>
      <c r="AJ134" s="122"/>
      <c r="AK134" s="122"/>
      <c r="AL134" s="122"/>
      <c r="AM134" s="122"/>
      <c r="AN134" s="122"/>
      <c r="AO134" s="122">
        <v>10.3</v>
      </c>
      <c r="AP134" s="139" t="s">
        <v>636</v>
      </c>
      <c r="AQ134" s="122">
        <v>6.5</v>
      </c>
      <c r="AR134" s="139" t="s">
        <v>1072</v>
      </c>
      <c r="AS134" s="122"/>
      <c r="AT134" s="122"/>
      <c r="AU134" s="122"/>
      <c r="AV134" s="122"/>
      <c r="AW134" s="122">
        <v>6.4</v>
      </c>
      <c r="AX134" s="139" t="s">
        <v>1070</v>
      </c>
      <c r="AY134" s="122"/>
      <c r="AZ134" s="122"/>
      <c r="BA134" s="122"/>
      <c r="BB134" s="121">
        <v>-3.1</v>
      </c>
      <c r="BC134" s="139" t="s">
        <v>1070</v>
      </c>
      <c r="BD134" s="122" t="str">
        <f ca="1">INDIRECT(ADDRESS(MATCH($B134,'【別紙1】標高（入力）'!$B:$B,0),'【別紙1】標高（入力）'!AD$2,4,TRUE,"【別紙1】標高（入力）"))</f>
        <v/>
      </c>
      <c r="BE134" s="122" t="str">
        <f ca="1">INDIRECT(ADDRESS(MATCH($B134,'【別紙1】標高（入力）'!$B:$B,0),'【別紙1】標高（入力）'!AE$2,4,TRUE,"【別紙1】標高（入力）"))</f>
        <v/>
      </c>
      <c r="BF134" s="122" t="str">
        <f ca="1">INDIRECT(ADDRESS(MATCH($B134,'【別紙1】標高（入力）'!$B:$B,0),'【別紙1】標高（入力）'!AF$2,4,TRUE,"【別紙1】標高（入力）"))</f>
        <v/>
      </c>
      <c r="BG134" s="121">
        <f ca="1">INDIRECT(ADDRESS(MATCH($B134,'【別紙1】標高（入力）'!$B:$B,0),'【別紙1】標高（入力）'!AG$2,4,TRUE,"【別紙1】標高（入力）"))</f>
        <v>-3.7000000000002586</v>
      </c>
      <c r="BH134" s="125" t="str">
        <f ca="1">INDIRECT(ADDRESS(MATCH($B134,'【別紙1】標高（入力）'!$B:$B,0),'【別紙1】標高（入力）'!AH$2,4,TRUE,"【別紙1】標高（入力）"))</f>
        <v/>
      </c>
      <c r="BI134" s="624"/>
      <c r="BJ134" s="598" t="str">
        <f t="shared" ca="1" si="32"/>
        <v>-</v>
      </c>
      <c r="BK134" s="604">
        <f t="shared" ref="BK134:BK145" ca="1" si="37">SUM(K134:BI134)</f>
        <v>51.699999999999733</v>
      </c>
      <c r="BL134" s="600" t="str">
        <f ca="1">INDIRECT(ADDRESS(MATCH($B134,'【別紙1】標高（入力）'!$B:$B,0),'【別紙1】標高（入力）'!$N$2,4,TRUE,"【別紙1】標高（入力）"))</f>
        <v>R3</v>
      </c>
      <c r="BM134" s="340">
        <f ca="1">INDIRECT(ADDRESS(MATCH($B134,'【別紙1】標高（入力）'!$B:$B,0),'【別紙1】標高（入力）'!$O$2,4,TRUE,"【別紙1】標高（入力）"))</f>
        <v>4.4196</v>
      </c>
      <c r="BN134" s="392"/>
    </row>
    <row r="135" spans="1:66" ht="15.95" customHeight="1">
      <c r="A135" s="119">
        <v>904</v>
      </c>
      <c r="B135" s="591">
        <v>7402</v>
      </c>
      <c r="C135" s="114" t="s">
        <v>217</v>
      </c>
      <c r="D135" s="596" t="s">
        <v>1397</v>
      </c>
      <c r="E135" s="597" t="s">
        <v>1442</v>
      </c>
      <c r="F135" s="111" t="s">
        <v>12</v>
      </c>
      <c r="G135" s="112" t="s">
        <v>31</v>
      </c>
      <c r="H135" s="112" t="s">
        <v>541</v>
      </c>
      <c r="I135" s="112" t="s">
        <v>539</v>
      </c>
      <c r="J135" s="112" t="s">
        <v>293</v>
      </c>
      <c r="K135" s="224"/>
      <c r="L135" s="228"/>
      <c r="M135" s="228"/>
      <c r="N135" s="228"/>
      <c r="O135" s="228"/>
      <c r="P135" s="221"/>
      <c r="Q135" s="124">
        <v>1.9</v>
      </c>
      <c r="R135" s="124">
        <v>-1.9</v>
      </c>
      <c r="S135" s="136" t="s">
        <v>636</v>
      </c>
      <c r="T135" s="127">
        <v>-4.4000000000000004</v>
      </c>
      <c r="U135" s="136" t="s">
        <v>636</v>
      </c>
      <c r="V135" s="127">
        <v>1.1000000000000001</v>
      </c>
      <c r="W135" s="136" t="s">
        <v>679</v>
      </c>
      <c r="X135" s="122"/>
      <c r="Y135" s="122"/>
      <c r="Z135" s="122"/>
      <c r="AA135" s="122"/>
      <c r="AB135" s="127">
        <v>3.6</v>
      </c>
      <c r="AC135" s="136" t="s">
        <v>1273</v>
      </c>
      <c r="AD135" s="122"/>
      <c r="AE135" s="127">
        <v>16.5</v>
      </c>
      <c r="AF135" s="136" t="s">
        <v>1273</v>
      </c>
      <c r="AG135" s="122"/>
      <c r="AH135" s="122">
        <v>-4.8</v>
      </c>
      <c r="AI135" s="139" t="s">
        <v>695</v>
      </c>
      <c r="AJ135" s="122"/>
      <c r="AK135" s="122"/>
      <c r="AL135" s="122"/>
      <c r="AM135" s="122"/>
      <c r="AN135" s="122"/>
      <c r="AO135" s="122">
        <v>4.5999999999999996</v>
      </c>
      <c r="AP135" s="139" t="s">
        <v>636</v>
      </c>
      <c r="AQ135" s="122">
        <v>4.7</v>
      </c>
      <c r="AR135" s="139" t="s">
        <v>1072</v>
      </c>
      <c r="AS135" s="122"/>
      <c r="AT135" s="122"/>
      <c r="AU135" s="122"/>
      <c r="AV135" s="122"/>
      <c r="AW135" s="122">
        <v>4.8</v>
      </c>
      <c r="AX135" s="139" t="s">
        <v>1070</v>
      </c>
      <c r="AY135" s="122"/>
      <c r="AZ135" s="122"/>
      <c r="BA135" s="122"/>
      <c r="BB135" s="121">
        <v>4.5999999999999996</v>
      </c>
      <c r="BC135" s="139" t="s">
        <v>1070</v>
      </c>
      <c r="BD135" s="122" t="str">
        <f ca="1">INDIRECT(ADDRESS(MATCH($B135,'【別紙1】標高（入力）'!$B:$B,0),'【別紙1】標高（入力）'!AD$2,4,TRUE,"【別紙1】標高（入力）"))</f>
        <v/>
      </c>
      <c r="BE135" s="122" t="str">
        <f ca="1">INDIRECT(ADDRESS(MATCH($B135,'【別紙1】標高（入力）'!$B:$B,0),'【別紙1】標高（入力）'!AE$2,4,TRUE,"【別紙1】標高（入力）"))</f>
        <v/>
      </c>
      <c r="BF135" s="122" t="str">
        <f ca="1">INDIRECT(ADDRESS(MATCH($B135,'【別紙1】標高（入力）'!$B:$B,0),'【別紙1】標高（入力）'!AF$2,4,TRUE,"【別紙1】標高（入力）"))</f>
        <v/>
      </c>
      <c r="BG135" s="121">
        <f ca="1">INDIRECT(ADDRESS(MATCH($B135,'【別紙1】標高（入力）'!$B:$B,0),'【別紙1】標高（入力）'!AG$2,4,TRUE,"【別紙1】標高（入力）"))</f>
        <v>2.6000000000010459</v>
      </c>
      <c r="BH135" s="125" t="str">
        <f ca="1">INDIRECT(ADDRESS(MATCH($B135,'【別紙1】標高（入力）'!$B:$B,0),'【別紙1】標高（入力）'!AH$2,4,TRUE,"【別紙1】標高（入力）"))</f>
        <v/>
      </c>
      <c r="BI135" s="624"/>
      <c r="BJ135" s="598" t="str">
        <f t="shared" ca="1" si="32"/>
        <v>-</v>
      </c>
      <c r="BK135" s="604">
        <f t="shared" ca="1" si="37"/>
        <v>33.300000000001049</v>
      </c>
      <c r="BL135" s="600" t="str">
        <f ca="1">INDIRECT(ADDRESS(MATCH($B135,'【別紙1】標高（入力）'!$B:$B,0),'【別紙1】標高（入力）'!$N$2,4,TRUE,"【別紙1】標高（入力）"))</f>
        <v>R3</v>
      </c>
      <c r="BM135" s="340">
        <f ca="1">INDIRECT(ADDRESS(MATCH($B135,'【別紙1】標高（入力）'!$B:$B,0),'【別紙1】標高（入力）'!$O$2,4,TRUE,"【別紙1】標高（入力）"))</f>
        <v>17.320599999999999</v>
      </c>
      <c r="BN135" s="392"/>
    </row>
    <row r="136" spans="1:66" ht="15.95" customHeight="1">
      <c r="A136" s="119">
        <v>905</v>
      </c>
      <c r="B136" s="591">
        <v>7403</v>
      </c>
      <c r="C136" s="114" t="s">
        <v>217</v>
      </c>
      <c r="D136" s="596" t="s">
        <v>1398</v>
      </c>
      <c r="E136" s="597" t="s">
        <v>1448</v>
      </c>
      <c r="F136" s="111" t="s">
        <v>12</v>
      </c>
      <c r="G136" s="112" t="s">
        <v>31</v>
      </c>
      <c r="H136" s="112" t="s">
        <v>541</v>
      </c>
      <c r="I136" s="112" t="s">
        <v>312</v>
      </c>
      <c r="J136" s="112" t="s">
        <v>293</v>
      </c>
      <c r="K136" s="224"/>
      <c r="L136" s="228"/>
      <c r="M136" s="228"/>
      <c r="N136" s="228"/>
      <c r="O136" s="228"/>
      <c r="P136" s="221"/>
      <c r="Q136" s="124">
        <v>1.1000000000000001</v>
      </c>
      <c r="R136" s="124">
        <v>0.3</v>
      </c>
      <c r="S136" s="136" t="s">
        <v>636</v>
      </c>
      <c r="T136" s="127">
        <v>-4.3</v>
      </c>
      <c r="U136" s="136" t="s">
        <v>636</v>
      </c>
      <c r="V136" s="127">
        <v>-0.2</v>
      </c>
      <c r="W136" s="224"/>
      <c r="X136" s="228"/>
      <c r="Y136" s="228"/>
      <c r="Z136" s="228"/>
      <c r="AA136" s="228"/>
      <c r="AB136" s="411" t="s">
        <v>47</v>
      </c>
      <c r="AC136" s="135" t="s">
        <v>1273</v>
      </c>
      <c r="AD136" s="122"/>
      <c r="AE136" s="127">
        <v>4.0999999999999996</v>
      </c>
      <c r="AF136" s="136" t="s">
        <v>1273</v>
      </c>
      <c r="AG136" s="122"/>
      <c r="AH136" s="122">
        <v>-5.8</v>
      </c>
      <c r="AI136" s="225" t="s">
        <v>247</v>
      </c>
      <c r="AJ136" s="228"/>
      <c r="AK136" s="138" t="s">
        <v>260</v>
      </c>
      <c r="AL136" s="228"/>
      <c r="AM136" s="228"/>
      <c r="AN136" s="228"/>
      <c r="AO136" s="138" t="s">
        <v>256</v>
      </c>
      <c r="AP136" s="135" t="s">
        <v>636</v>
      </c>
      <c r="AQ136" s="122">
        <v>4</v>
      </c>
      <c r="AR136" s="139" t="s">
        <v>1072</v>
      </c>
      <c r="AS136" s="122"/>
      <c r="AT136" s="122"/>
      <c r="AU136" s="122"/>
      <c r="AV136" s="122"/>
      <c r="AW136" s="122">
        <v>-2.7</v>
      </c>
      <c r="AX136" s="139" t="s">
        <v>1070</v>
      </c>
      <c r="AY136" s="122"/>
      <c r="AZ136" s="122"/>
      <c r="BA136" s="122"/>
      <c r="BB136" s="121">
        <v>1.2</v>
      </c>
      <c r="BC136" s="139" t="s">
        <v>1070</v>
      </c>
      <c r="BD136" s="122" t="str">
        <f ca="1">INDIRECT(ADDRESS(MATCH($B136,'【別紙1】標高（入力）'!$B:$B,0),'【別紙1】標高（入力）'!AD$2,4,TRUE,"【別紙1】標高（入力）"))</f>
        <v/>
      </c>
      <c r="BE136" s="122" t="str">
        <f ca="1">INDIRECT(ADDRESS(MATCH($B136,'【別紙1】標高（入力）'!$B:$B,0),'【別紙1】標高（入力）'!AE$2,4,TRUE,"【別紙1】標高（入力）"))</f>
        <v/>
      </c>
      <c r="BF136" s="122" t="str">
        <f ca="1">INDIRECT(ADDRESS(MATCH($B136,'【別紙1】標高（入力）'!$B:$B,0),'【別紙1】標高（入力）'!AF$2,4,TRUE,"【別紙1】標高（入力）"))</f>
        <v/>
      </c>
      <c r="BG136" s="121">
        <f ca="1">INDIRECT(ADDRESS(MATCH($B136,'【別紙1】標高（入力）'!$B:$B,0),'【別紙1】標高（入力）'!AG$2,4,TRUE,"【別紙1】標高（入力）"))</f>
        <v>0.29999999999930083</v>
      </c>
      <c r="BH136" s="125" t="str">
        <f ca="1">INDIRECT(ADDRESS(MATCH($B136,'【別紙1】標高（入力）'!$B:$B,0),'【別紙1】標高（入力）'!AH$2,4,TRUE,"【別紙1】標高（入力）"))</f>
        <v/>
      </c>
      <c r="BI136" s="624"/>
      <c r="BJ136" s="598" t="str">
        <f t="shared" ca="1" si="32"/>
        <v>-</v>
      </c>
      <c r="BK136" s="604">
        <f t="shared" ca="1" si="37"/>
        <v>-2.000000000000699</v>
      </c>
      <c r="BL136" s="600" t="str">
        <f ca="1">INDIRECT(ADDRESS(MATCH($B136,'【別紙1】標高（入力）'!$B:$B,0),'【別紙1】標高（入力）'!$N$2,4,TRUE,"【別紙1】標高（入力）"))</f>
        <v>R3</v>
      </c>
      <c r="BM136" s="340">
        <f ca="1">INDIRECT(ADDRESS(MATCH($B136,'【別紙1】標高（入力）'!$B:$B,0),'【別紙1】標高（入力）'!$O$2,4,TRUE,"【別紙1】標高（入力）"))</f>
        <v>14.526300000000001</v>
      </c>
      <c r="BN136" s="392"/>
    </row>
    <row r="137" spans="1:66" ht="15.95" customHeight="1">
      <c r="A137" s="119">
        <v>906</v>
      </c>
      <c r="B137" s="591">
        <v>7404</v>
      </c>
      <c r="C137" s="114" t="s">
        <v>217</v>
      </c>
      <c r="D137" s="110" t="s">
        <v>674</v>
      </c>
      <c r="E137" s="597" t="s">
        <v>1443</v>
      </c>
      <c r="F137" s="111" t="s">
        <v>12</v>
      </c>
      <c r="G137" s="112" t="s">
        <v>223</v>
      </c>
      <c r="H137" s="112" t="s">
        <v>541</v>
      </c>
      <c r="I137" s="112" t="s">
        <v>317</v>
      </c>
      <c r="J137" s="112" t="s">
        <v>293</v>
      </c>
      <c r="K137" s="224"/>
      <c r="L137" s="228"/>
      <c r="M137" s="228"/>
      <c r="N137" s="228"/>
      <c r="O137" s="221"/>
      <c r="P137" s="124">
        <v>0.3</v>
      </c>
      <c r="Q137" s="124">
        <v>0.5</v>
      </c>
      <c r="R137" s="124">
        <v>2</v>
      </c>
      <c r="S137" s="124">
        <v>-5.3</v>
      </c>
      <c r="T137" s="124">
        <v>1.5</v>
      </c>
      <c r="U137" s="124">
        <v>-0.3</v>
      </c>
      <c r="V137" s="124">
        <v>2.4</v>
      </c>
      <c r="W137" s="136" t="s">
        <v>679</v>
      </c>
      <c r="X137" s="122"/>
      <c r="Y137" s="122"/>
      <c r="Z137" s="122"/>
      <c r="AA137" s="122"/>
      <c r="AB137" s="127">
        <v>-0.4</v>
      </c>
      <c r="AC137" s="136" t="s">
        <v>1273</v>
      </c>
      <c r="AD137" s="122"/>
      <c r="AE137" s="127">
        <v>5.3</v>
      </c>
      <c r="AF137" s="136" t="s">
        <v>1273</v>
      </c>
      <c r="AG137" s="122"/>
      <c r="AH137" s="122">
        <v>-5.6</v>
      </c>
      <c r="AI137" s="139" t="s">
        <v>695</v>
      </c>
      <c r="AJ137" s="122"/>
      <c r="AK137" s="122"/>
      <c r="AL137" s="122"/>
      <c r="AM137" s="122"/>
      <c r="AN137" s="122"/>
      <c r="AO137" s="122">
        <v>3.7</v>
      </c>
      <c r="AP137" s="139" t="s">
        <v>636</v>
      </c>
      <c r="AQ137" s="122">
        <v>5.2</v>
      </c>
      <c r="AR137" s="139" t="s">
        <v>1072</v>
      </c>
      <c r="AS137" s="122"/>
      <c r="AT137" s="122"/>
      <c r="AU137" s="122"/>
      <c r="AV137" s="122"/>
      <c r="AW137" s="122">
        <v>-0.6</v>
      </c>
      <c r="AX137" s="139" t="s">
        <v>1070</v>
      </c>
      <c r="AY137" s="122"/>
      <c r="AZ137" s="122"/>
      <c r="BA137" s="122"/>
      <c r="BB137" s="121">
        <v>-4</v>
      </c>
      <c r="BC137" s="139" t="s">
        <v>1070</v>
      </c>
      <c r="BD137" s="122" t="str">
        <f ca="1">INDIRECT(ADDRESS(MATCH($B137,'【別紙1】標高（入力）'!$B:$B,0),'【別紙1】標高（入力）'!AD$2,4,TRUE,"【別紙1】標高（入力）"))</f>
        <v/>
      </c>
      <c r="BE137" s="122" t="str">
        <f ca="1">INDIRECT(ADDRESS(MATCH($B137,'【別紙1】標高（入力）'!$B:$B,0),'【別紙1】標高（入力）'!AE$2,4,TRUE,"【別紙1】標高（入力）"))</f>
        <v/>
      </c>
      <c r="BF137" s="122" t="str">
        <f ca="1">INDIRECT(ADDRESS(MATCH($B137,'【別紙1】標高（入力）'!$B:$B,0),'【別紙1】標高（入力）'!AF$2,4,TRUE,"【別紙1】標高（入力）"))</f>
        <v/>
      </c>
      <c r="BG137" s="121">
        <f ca="1">INDIRECT(ADDRESS(MATCH($B137,'【別紙1】標高（入力）'!$B:$B,0),'【別紙1】標高（入力）'!AG$2,4,TRUE,"【別紙1】標高（入力）"))</f>
        <v>-3.0999999999998806</v>
      </c>
      <c r="BH137" s="125" t="str">
        <f ca="1">INDIRECT(ADDRESS(MATCH($B137,'【別紙1】標高（入力）'!$B:$B,0),'【別紙1】標高（入力）'!AH$2,4,TRUE,"【別紙1】標高（入力）"))</f>
        <v/>
      </c>
      <c r="BI137" s="624"/>
      <c r="BJ137" s="598" t="str">
        <f t="shared" ca="1" si="32"/>
        <v>-</v>
      </c>
      <c r="BK137" s="604">
        <f t="shared" ca="1" si="37"/>
        <v>1.6000000000001204</v>
      </c>
      <c r="BL137" s="600" t="str">
        <f ca="1">INDIRECT(ADDRESS(MATCH($B137,'【別紙1】標高（入力）'!$B:$B,0),'【別紙1】標高（入力）'!$N$2,4,TRUE,"【別紙1】標高（入力）"))</f>
        <v>R3</v>
      </c>
      <c r="BM137" s="340">
        <f ca="1">INDIRECT(ADDRESS(MATCH($B137,'【別紙1】標高（入力）'!$B:$B,0),'【別紙1】標高（入力）'!$O$2,4,TRUE,"【別紙1】標高（入力）"))</f>
        <v>11.178599999999999</v>
      </c>
      <c r="BN137" s="392"/>
    </row>
    <row r="138" spans="1:66" ht="15.95" customHeight="1">
      <c r="A138" s="119">
        <v>907</v>
      </c>
      <c r="B138" s="107" t="s">
        <v>523</v>
      </c>
      <c r="C138" s="114" t="s">
        <v>217</v>
      </c>
      <c r="D138" s="110" t="s">
        <v>581</v>
      </c>
      <c r="E138" s="109" t="s">
        <v>230</v>
      </c>
      <c r="F138" s="111" t="s">
        <v>12</v>
      </c>
      <c r="G138" s="112" t="s">
        <v>10</v>
      </c>
      <c r="H138" s="112" t="s">
        <v>541</v>
      </c>
      <c r="I138" s="112" t="s">
        <v>312</v>
      </c>
      <c r="J138" s="112" t="s">
        <v>293</v>
      </c>
      <c r="K138" s="224"/>
      <c r="L138" s="228"/>
      <c r="M138" s="221"/>
      <c r="N138" s="124">
        <v>-10.8</v>
      </c>
      <c r="O138" s="124">
        <v>13.2</v>
      </c>
      <c r="P138" s="124">
        <v>-0.6</v>
      </c>
      <c r="Q138" s="124">
        <v>0.3</v>
      </c>
      <c r="R138" s="124">
        <v>0.6</v>
      </c>
      <c r="S138" s="124">
        <v>-2.7</v>
      </c>
      <c r="T138" s="124">
        <v>1.1000000000000001</v>
      </c>
      <c r="U138" s="124">
        <v>3.1</v>
      </c>
      <c r="V138" s="124">
        <v>3.1</v>
      </c>
      <c r="W138" s="136" t="s">
        <v>679</v>
      </c>
      <c r="X138" s="122"/>
      <c r="Y138" s="122"/>
      <c r="Z138" s="122"/>
      <c r="AA138" s="122"/>
      <c r="AB138" s="127">
        <v>1.8</v>
      </c>
      <c r="AC138" s="136" t="s">
        <v>1273</v>
      </c>
      <c r="AD138" s="122"/>
      <c r="AE138" s="127">
        <v>7</v>
      </c>
      <c r="AF138" s="136" t="s">
        <v>1273</v>
      </c>
      <c r="AG138" s="122"/>
      <c r="AH138" s="122">
        <v>-4.3</v>
      </c>
      <c r="AI138" s="139" t="s">
        <v>695</v>
      </c>
      <c r="AJ138" s="122"/>
      <c r="AK138" s="122"/>
      <c r="AL138" s="122"/>
      <c r="AM138" s="122"/>
      <c r="AN138" s="122"/>
      <c r="AO138" s="122">
        <v>3</v>
      </c>
      <c r="AP138" s="139" t="s">
        <v>636</v>
      </c>
      <c r="AQ138" s="122">
        <v>3.9</v>
      </c>
      <c r="AR138" s="139" t="s">
        <v>1072</v>
      </c>
      <c r="AS138" s="122"/>
      <c r="AT138" s="122"/>
      <c r="AU138" s="122"/>
      <c r="AV138" s="122"/>
      <c r="AW138" s="122">
        <v>-0.6</v>
      </c>
      <c r="AX138" s="139" t="s">
        <v>1070</v>
      </c>
      <c r="AY138" s="122"/>
      <c r="AZ138" s="122"/>
      <c r="BA138" s="122"/>
      <c r="BB138" s="121">
        <v>1.2</v>
      </c>
      <c r="BC138" s="139" t="s">
        <v>1070</v>
      </c>
      <c r="BD138" s="122" t="str">
        <f ca="1">INDIRECT(ADDRESS(MATCH($B138,'【別紙1】標高（入力）'!$B:$B,0),'【別紙1】標高（入力）'!AD$2,4,TRUE,"【別紙1】標高（入力）"))</f>
        <v/>
      </c>
      <c r="BE138" s="122" t="str">
        <f ca="1">INDIRECT(ADDRESS(MATCH($B138,'【別紙1】標高（入力）'!$B:$B,0),'【別紙1】標高（入力）'!AE$2,4,TRUE,"【別紙1】標高（入力）"))</f>
        <v/>
      </c>
      <c r="BF138" s="122" t="str">
        <f ca="1">INDIRECT(ADDRESS(MATCH($B138,'【別紙1】標高（入力）'!$B:$B,0),'【別紙1】標高（入力）'!AF$2,4,TRUE,"【別紙1】標高（入力）"))</f>
        <v/>
      </c>
      <c r="BG138" s="121">
        <f ca="1">INDIRECT(ADDRESS(MATCH($B138,'【別紙1】標高（入力）'!$B:$B,0),'【別紙1】標高（入力）'!AG$2,4,TRUE,"【別紙1】標高（入力）"))</f>
        <v>3.8000000000018019</v>
      </c>
      <c r="BH138" s="125" t="str">
        <f ca="1">INDIRECT(ADDRESS(MATCH($B138,'【別紙1】標高（入力）'!$B:$B,0),'【別紙1】標高（入力）'!AH$2,4,TRUE,"【別紙1】標高（入力）"))</f>
        <v/>
      </c>
      <c r="BI138" s="624"/>
      <c r="BJ138" s="598" t="str">
        <f t="shared" ca="1" si="32"/>
        <v>-</v>
      </c>
      <c r="BK138" s="604">
        <f t="shared" ca="1" si="37"/>
        <v>23.100000000001799</v>
      </c>
      <c r="BL138" s="600" t="str">
        <f ca="1">INDIRECT(ADDRESS(MATCH($B138,'【別紙1】標高（入力）'!$B:$B,0),'【別紙1】標高（入力）'!$N$2,4,TRUE,"【別紙1】標高（入力）"))</f>
        <v>R3</v>
      </c>
      <c r="BM138" s="340">
        <f ca="1">INDIRECT(ADDRESS(MATCH($B138,'【別紙1】標高（入力）'!$B:$B,0),'【別紙1】標高（入力）'!$O$2,4,TRUE,"【別紙1】標高（入力）"))</f>
        <v>25.3736</v>
      </c>
      <c r="BN138" s="392"/>
    </row>
    <row r="139" spans="1:66" ht="15.95" customHeight="1">
      <c r="A139" s="119">
        <v>908</v>
      </c>
      <c r="B139" s="107" t="s">
        <v>359</v>
      </c>
      <c r="C139" s="114" t="s">
        <v>217</v>
      </c>
      <c r="D139" s="110" t="s">
        <v>705</v>
      </c>
      <c r="E139" s="597" t="s">
        <v>1444</v>
      </c>
      <c r="F139" s="111" t="s">
        <v>9</v>
      </c>
      <c r="G139" s="112" t="s">
        <v>10</v>
      </c>
      <c r="H139" s="112" t="s">
        <v>720</v>
      </c>
      <c r="I139" s="112" t="s">
        <v>54</v>
      </c>
      <c r="J139" s="112" t="s">
        <v>264</v>
      </c>
      <c r="K139" s="224"/>
      <c r="L139" s="228"/>
      <c r="M139" s="221"/>
      <c r="N139" s="136" t="s">
        <v>636</v>
      </c>
      <c r="O139" s="127">
        <v>12.3</v>
      </c>
      <c r="P139" s="124">
        <v>0.5</v>
      </c>
      <c r="Q139" s="124">
        <v>4.5999999999999996</v>
      </c>
      <c r="R139" s="124">
        <v>6</v>
      </c>
      <c r="S139" s="124">
        <v>-7.1</v>
      </c>
      <c r="T139" s="124">
        <v>1.1000000000000001</v>
      </c>
      <c r="U139" s="124">
        <v>2.6</v>
      </c>
      <c r="V139" s="124">
        <v>6.9</v>
      </c>
      <c r="W139" s="136" t="s">
        <v>679</v>
      </c>
      <c r="X139" s="122"/>
      <c r="Y139" s="122"/>
      <c r="Z139" s="122"/>
      <c r="AA139" s="122"/>
      <c r="AB139" s="127">
        <v>0.6</v>
      </c>
      <c r="AC139" s="136" t="s">
        <v>1273</v>
      </c>
      <c r="AD139" s="122"/>
      <c r="AE139" s="127">
        <v>12.9</v>
      </c>
      <c r="AF139" s="136" t="s">
        <v>1273</v>
      </c>
      <c r="AG139" s="122"/>
      <c r="AH139" s="122">
        <v>1.6</v>
      </c>
      <c r="AI139" s="139" t="s">
        <v>695</v>
      </c>
      <c r="AJ139" s="122"/>
      <c r="AK139" s="122"/>
      <c r="AL139" s="122"/>
      <c r="AM139" s="122"/>
      <c r="AN139" s="122"/>
      <c r="AO139" s="122">
        <v>5.8</v>
      </c>
      <c r="AP139" s="139" t="s">
        <v>636</v>
      </c>
      <c r="AQ139" s="122">
        <v>3.7</v>
      </c>
      <c r="AR139" s="139" t="s">
        <v>1072</v>
      </c>
      <c r="AS139" s="122"/>
      <c r="AT139" s="122"/>
      <c r="AU139" s="122"/>
      <c r="AV139" s="122"/>
      <c r="AW139" s="122">
        <v>2.2000000000000002</v>
      </c>
      <c r="AX139" s="139" t="s">
        <v>1070</v>
      </c>
      <c r="AY139" s="122"/>
      <c r="AZ139" s="122"/>
      <c r="BA139" s="122"/>
      <c r="BB139" s="121">
        <v>-8</v>
      </c>
      <c r="BC139" s="139" t="s">
        <v>1070</v>
      </c>
      <c r="BD139" s="122" t="str">
        <f ca="1">INDIRECT(ADDRESS(MATCH($B139,'【別紙1】標高（入力）'!$B:$B,0),'【別紙1】標高（入力）'!AD$2,4,TRUE,"【別紙1】標高（入力）"))</f>
        <v/>
      </c>
      <c r="BE139" s="122" t="str">
        <f ca="1">INDIRECT(ADDRESS(MATCH($B139,'【別紙1】標高（入力）'!$B:$B,0),'【別紙1】標高（入力）'!AE$2,4,TRUE,"【別紙1】標高（入力）"))</f>
        <v/>
      </c>
      <c r="BF139" s="122" t="str">
        <f ca="1">INDIRECT(ADDRESS(MATCH($B139,'【別紙1】標高（入力）'!$B:$B,0),'【別紙1】標高（入力）'!AF$2,4,TRUE,"【別紙1】標高（入力）"))</f>
        <v/>
      </c>
      <c r="BG139" s="121">
        <f ca="1">INDIRECT(ADDRESS(MATCH($B139,'【別紙1】標高（入力）'!$B:$B,0),'【別紙1】標高（入力）'!AG$2,4,TRUE,"【別紙1】標高（入力）"))</f>
        <v>-3.5999999999996035</v>
      </c>
      <c r="BH139" s="125" t="str">
        <f ca="1">INDIRECT(ADDRESS(MATCH($B139,'【別紙1】標高（入力）'!$B:$B,0),'【別紙1】標高（入力）'!AH$2,4,TRUE,"【別紙1】標高（入力）"))</f>
        <v/>
      </c>
      <c r="BI139" s="624"/>
      <c r="BJ139" s="598" t="str">
        <f t="shared" ca="1" si="32"/>
        <v>-</v>
      </c>
      <c r="BK139" s="604">
        <f t="shared" ca="1" si="37"/>
        <v>42.100000000000399</v>
      </c>
      <c r="BL139" s="600" t="str">
        <f ca="1">INDIRECT(ADDRESS(MATCH($B139,'【別紙1】標高（入力）'!$B:$B,0),'【別紙1】標高（入力）'!$N$2,4,TRUE,"【別紙1】標高（入力）"))</f>
        <v>R3</v>
      </c>
      <c r="BM139" s="340">
        <f ca="1">INDIRECT(ADDRESS(MATCH($B139,'【別紙1】標高（入力）'!$B:$B,0),'【別紙1】標高（入力）'!$O$2,4,TRUE,"【別紙1】標高（入力）"))</f>
        <v>5.0652999999999997</v>
      </c>
      <c r="BN139" s="392"/>
    </row>
    <row r="140" spans="1:66" ht="15.95" customHeight="1">
      <c r="A140" s="119">
        <v>909</v>
      </c>
      <c r="B140" s="591">
        <v>4611</v>
      </c>
      <c r="C140" s="114" t="s">
        <v>217</v>
      </c>
      <c r="D140" s="596" t="s">
        <v>1399</v>
      </c>
      <c r="E140" s="109" t="s">
        <v>233</v>
      </c>
      <c r="F140" s="111" t="s">
        <v>12</v>
      </c>
      <c r="G140" s="112" t="s">
        <v>31</v>
      </c>
      <c r="H140" s="112" t="s">
        <v>541</v>
      </c>
      <c r="I140" s="112" t="s">
        <v>54</v>
      </c>
      <c r="J140" s="112" t="s">
        <v>264</v>
      </c>
      <c r="K140" s="224"/>
      <c r="L140" s="228"/>
      <c r="M140" s="228"/>
      <c r="N140" s="228"/>
      <c r="O140" s="228"/>
      <c r="P140" s="221"/>
      <c r="Q140" s="124">
        <v>2.2999999999999998</v>
      </c>
      <c r="R140" s="124">
        <v>4.5999999999999996</v>
      </c>
      <c r="S140" s="124">
        <v>-6.6</v>
      </c>
      <c r="T140" s="124">
        <v>-0.1</v>
      </c>
      <c r="U140" s="124">
        <v>1.8</v>
      </c>
      <c r="V140" s="124">
        <v>6.7</v>
      </c>
      <c r="W140" s="136" t="s">
        <v>679</v>
      </c>
      <c r="X140" s="122"/>
      <c r="Y140" s="122"/>
      <c r="Z140" s="122"/>
      <c r="AA140" s="122"/>
      <c r="AB140" s="127">
        <v>0.7</v>
      </c>
      <c r="AC140" s="136" t="s">
        <v>1273</v>
      </c>
      <c r="AD140" s="122"/>
      <c r="AE140" s="127">
        <v>12.2</v>
      </c>
      <c r="AF140" s="136" t="s">
        <v>1273</v>
      </c>
      <c r="AG140" s="122"/>
      <c r="AH140" s="122">
        <v>3.8</v>
      </c>
      <c r="AI140" s="139" t="s">
        <v>695</v>
      </c>
      <c r="AJ140" s="122"/>
      <c r="AK140" s="122"/>
      <c r="AL140" s="122"/>
      <c r="AM140" s="122"/>
      <c r="AN140" s="122"/>
      <c r="AO140" s="122">
        <v>6.6</v>
      </c>
      <c r="AP140" s="139" t="s">
        <v>636</v>
      </c>
      <c r="AQ140" s="122">
        <v>3.8</v>
      </c>
      <c r="AR140" s="139" t="s">
        <v>1072</v>
      </c>
      <c r="AS140" s="122"/>
      <c r="AT140" s="122"/>
      <c r="AU140" s="122"/>
      <c r="AV140" s="122"/>
      <c r="AW140" s="122">
        <v>5.0999999999999996</v>
      </c>
      <c r="AX140" s="139" t="s">
        <v>1070</v>
      </c>
      <c r="AY140" s="122"/>
      <c r="AZ140" s="122"/>
      <c r="BA140" s="122"/>
      <c r="BB140" s="121">
        <v>-6.7</v>
      </c>
      <c r="BC140" s="139" t="s">
        <v>1070</v>
      </c>
      <c r="BD140" s="122" t="str">
        <f ca="1">INDIRECT(ADDRESS(MATCH($B140,'【別紙1】標高（入力）'!$B:$B,0),'【別紙1】標高（入力）'!AD$2,4,TRUE,"【別紙1】標高（入力）"))</f>
        <v/>
      </c>
      <c r="BE140" s="122" t="str">
        <f ca="1">INDIRECT(ADDRESS(MATCH($B140,'【別紙1】標高（入力）'!$B:$B,0),'【別紙1】標高（入力）'!AE$2,4,TRUE,"【別紙1】標高（入力）"))</f>
        <v/>
      </c>
      <c r="BF140" s="122" t="str">
        <f ca="1">INDIRECT(ADDRESS(MATCH($B140,'【別紙1】標高（入力）'!$B:$B,0),'【別紙1】標高（入力）'!AF$2,4,TRUE,"【別紙1】標高（入力）"))</f>
        <v/>
      </c>
      <c r="BG140" s="121">
        <f ca="1">INDIRECT(ADDRESS(MATCH($B140,'【別紙1】標高（入力）'!$B:$B,0),'【別紙1】標高（入力）'!AG$2,4,TRUE,"【別紙1】標高（入力）"))</f>
        <v>-2.6999999999999247</v>
      </c>
      <c r="BH140" s="125" t="str">
        <f ca="1">INDIRECT(ADDRESS(MATCH($B140,'【別紙1】標高（入力）'!$B:$B,0),'【別紙1】標高（入力）'!AH$2,4,TRUE,"【別紙1】標高（入力）"))</f>
        <v/>
      </c>
      <c r="BI140" s="624"/>
      <c r="BJ140" s="598" t="str">
        <f t="shared" ca="1" si="32"/>
        <v>-</v>
      </c>
      <c r="BK140" s="604">
        <f t="shared" ca="1" si="37"/>
        <v>31.500000000000071</v>
      </c>
      <c r="BL140" s="600" t="str">
        <f ca="1">INDIRECT(ADDRESS(MATCH($B140,'【別紙1】標高（入力）'!$B:$B,0),'【別紙1】標高（入力）'!$N$2,4,TRUE,"【別紙1】標高（入力）"))</f>
        <v>R3</v>
      </c>
      <c r="BM140" s="340">
        <f ca="1">INDIRECT(ADDRESS(MATCH($B140,'【別紙1】標高（入力）'!$B:$B,0),'【別紙1】標高（入力）'!$O$2,4,TRUE,"【別紙1】標高（入力）"))</f>
        <v>4.1519000000000004</v>
      </c>
      <c r="BN140" s="392"/>
    </row>
    <row r="141" spans="1:66" ht="15.95" customHeight="1">
      <c r="A141" s="119">
        <v>910</v>
      </c>
      <c r="B141" s="591">
        <v>7405</v>
      </c>
      <c r="C141" s="114" t="s">
        <v>217</v>
      </c>
      <c r="D141" s="110" t="s">
        <v>662</v>
      </c>
      <c r="E141" s="597" t="s">
        <v>1445</v>
      </c>
      <c r="F141" s="111" t="s">
        <v>12</v>
      </c>
      <c r="G141" s="112" t="s">
        <v>10</v>
      </c>
      <c r="H141" s="112" t="s">
        <v>541</v>
      </c>
      <c r="I141" s="112" t="s">
        <v>312</v>
      </c>
      <c r="J141" s="112" t="s">
        <v>293</v>
      </c>
      <c r="K141" s="224"/>
      <c r="L141" s="228"/>
      <c r="M141" s="221"/>
      <c r="N141" s="124">
        <v>-7.7</v>
      </c>
      <c r="O141" s="124">
        <v>12.2</v>
      </c>
      <c r="P141" s="124">
        <v>0.3</v>
      </c>
      <c r="Q141" s="124">
        <v>0.4</v>
      </c>
      <c r="R141" s="124">
        <v>0.5</v>
      </c>
      <c r="S141" s="124">
        <v>-3.5</v>
      </c>
      <c r="T141" s="124">
        <v>1.1000000000000001</v>
      </c>
      <c r="U141" s="124">
        <v>-1.5</v>
      </c>
      <c r="V141" s="124">
        <v>1.9</v>
      </c>
      <c r="W141" s="136" t="s">
        <v>679</v>
      </c>
      <c r="X141" s="122"/>
      <c r="Y141" s="122"/>
      <c r="Z141" s="122"/>
      <c r="AA141" s="122"/>
      <c r="AB141" s="127">
        <v>0.9</v>
      </c>
      <c r="AC141" s="136" t="s">
        <v>1273</v>
      </c>
      <c r="AD141" s="122"/>
      <c r="AE141" s="127">
        <v>3.1</v>
      </c>
      <c r="AF141" s="136" t="s">
        <v>1273</v>
      </c>
      <c r="AG141" s="122"/>
      <c r="AH141" s="122">
        <v>-4.8</v>
      </c>
      <c r="AI141" s="139" t="s">
        <v>695</v>
      </c>
      <c r="AJ141" s="122"/>
      <c r="AK141" s="122"/>
      <c r="AL141" s="122"/>
      <c r="AM141" s="122"/>
      <c r="AN141" s="122"/>
      <c r="AO141" s="122">
        <v>10.6</v>
      </c>
      <c r="AP141" s="139" t="s">
        <v>636</v>
      </c>
      <c r="AQ141" s="122">
        <v>4.4000000000000004</v>
      </c>
      <c r="AR141" s="139" t="s">
        <v>1072</v>
      </c>
      <c r="AS141" s="122"/>
      <c r="AT141" s="122"/>
      <c r="AU141" s="122"/>
      <c r="AV141" s="122"/>
      <c r="AW141" s="122">
        <v>6.1</v>
      </c>
      <c r="AX141" s="139" t="s">
        <v>1070</v>
      </c>
      <c r="AY141" s="122"/>
      <c r="AZ141" s="122"/>
      <c r="BA141" s="122"/>
      <c r="BB141" s="121">
        <v>2</v>
      </c>
      <c r="BC141" s="139" t="s">
        <v>1070</v>
      </c>
      <c r="BD141" s="122" t="str">
        <f ca="1">INDIRECT(ADDRESS(MATCH($B141,'【別紙1】標高（入力）'!$B:$B,0),'【別紙1】標高（入力）'!AD$2,4,TRUE,"【別紙1】標高（入力）"))</f>
        <v/>
      </c>
      <c r="BE141" s="122" t="str">
        <f ca="1">INDIRECT(ADDRESS(MATCH($B141,'【別紙1】標高（入力）'!$B:$B,0),'【別紙1】標高（入力）'!AE$2,4,TRUE,"【別紙1】標高（入力）"))</f>
        <v/>
      </c>
      <c r="BF141" s="122" t="str">
        <f ca="1">INDIRECT(ADDRESS(MATCH($B141,'【別紙1】標高（入力）'!$B:$B,0),'【別紙1】標高（入力）'!AF$2,4,TRUE,"【別紙1】標高（入力）"))</f>
        <v/>
      </c>
      <c r="BG141" s="121">
        <f ca="1">INDIRECT(ADDRESS(MATCH($B141,'【別紙1】標高（入力）'!$B:$B,0),'【別紙1】標高（入力）'!AG$2,4,TRUE,"【別紙1】標高（入力）"))</f>
        <v>0.19999999999953388</v>
      </c>
      <c r="BH141" s="125" t="str">
        <f ca="1">INDIRECT(ADDRESS(MATCH($B141,'【別紙1】標高（入力）'!$B:$B,0),'【別紙1】標高（入力）'!AH$2,4,TRUE,"【別紙1】標高（入力）"))</f>
        <v/>
      </c>
      <c r="BI141" s="624"/>
      <c r="BJ141" s="598" t="str">
        <f t="shared" ca="1" si="32"/>
        <v>-</v>
      </c>
      <c r="BK141" s="604">
        <f t="shared" ca="1" si="37"/>
        <v>26.199999999999534</v>
      </c>
      <c r="BL141" s="600" t="str">
        <f ca="1">INDIRECT(ADDRESS(MATCH($B141,'【別紙1】標高（入力）'!$B:$B,0),'【別紙1】標高（入力）'!$N$2,4,TRUE,"【別紙1】標高（入力）"))</f>
        <v>R3</v>
      </c>
      <c r="BM141" s="340">
        <f ca="1">INDIRECT(ADDRESS(MATCH($B141,'【別紙1】標高（入力）'!$B:$B,0),'【別紙1】標高（入力）'!$O$2,4,TRUE,"【別紙1】標高（入力）"))</f>
        <v>15.7712</v>
      </c>
      <c r="BN141" s="392"/>
    </row>
    <row r="142" spans="1:66" ht="15.95" customHeight="1">
      <c r="A142" s="119">
        <v>911</v>
      </c>
      <c r="B142" s="107" t="s">
        <v>363</v>
      </c>
      <c r="C142" s="114" t="s">
        <v>217</v>
      </c>
      <c r="D142" s="110" t="s">
        <v>675</v>
      </c>
      <c r="E142" s="597" t="s">
        <v>1446</v>
      </c>
      <c r="F142" s="111" t="s">
        <v>70</v>
      </c>
      <c r="G142" s="112" t="s">
        <v>10</v>
      </c>
      <c r="H142" s="112" t="s">
        <v>541</v>
      </c>
      <c r="I142" s="112" t="s">
        <v>54</v>
      </c>
      <c r="J142" s="112" t="s">
        <v>264</v>
      </c>
      <c r="K142" s="224"/>
      <c r="L142" s="228"/>
      <c r="M142" s="221"/>
      <c r="N142" s="124">
        <v>44</v>
      </c>
      <c r="O142" s="124">
        <v>33.200000000000003</v>
      </c>
      <c r="P142" s="124">
        <v>22.1</v>
      </c>
      <c r="Q142" s="124">
        <v>41.5</v>
      </c>
      <c r="R142" s="124">
        <v>19.600000000000001</v>
      </c>
      <c r="S142" s="123">
        <v>-1</v>
      </c>
      <c r="T142" s="411" t="s">
        <v>1270</v>
      </c>
      <c r="U142" s="135" t="s">
        <v>636</v>
      </c>
      <c r="V142" s="127">
        <v>97.6</v>
      </c>
      <c r="W142" s="136" t="s">
        <v>679</v>
      </c>
      <c r="X142" s="122"/>
      <c r="Y142" s="122"/>
      <c r="Z142" s="122"/>
      <c r="AA142" s="122"/>
      <c r="AB142" s="127">
        <v>108.3</v>
      </c>
      <c r="AC142" s="136" t="s">
        <v>1273</v>
      </c>
      <c r="AD142" s="122"/>
      <c r="AE142" s="411" t="s">
        <v>1270</v>
      </c>
      <c r="AF142" s="135" t="s">
        <v>1273</v>
      </c>
      <c r="AG142" s="122"/>
      <c r="AH142" s="122">
        <v>48.3</v>
      </c>
      <c r="AI142" s="139" t="s">
        <v>685</v>
      </c>
      <c r="AJ142" s="122"/>
      <c r="AK142" s="122"/>
      <c r="AL142" s="122"/>
      <c r="AM142" s="122"/>
      <c r="AN142" s="121">
        <v>45</v>
      </c>
      <c r="AO142" s="122">
        <v>11.8</v>
      </c>
      <c r="AP142" s="139" t="s">
        <v>636</v>
      </c>
      <c r="AQ142" s="122">
        <v>16.7</v>
      </c>
      <c r="AR142" s="139" t="s">
        <v>679</v>
      </c>
      <c r="AS142" s="122"/>
      <c r="AT142" s="122"/>
      <c r="AU142" s="122"/>
      <c r="AV142" s="122"/>
      <c r="AW142" s="122">
        <v>40.799999999999997</v>
      </c>
      <c r="AX142" s="139" t="s">
        <v>1070</v>
      </c>
      <c r="AY142" s="122"/>
      <c r="AZ142" s="122"/>
      <c r="BA142" s="122"/>
      <c r="BB142" s="121">
        <v>10.5</v>
      </c>
      <c r="BC142" s="139" t="s">
        <v>1070</v>
      </c>
      <c r="BD142" s="122" t="str">
        <f ca="1">INDIRECT(ADDRESS(MATCH($B142,'【別紙1】標高（入力）'!$B:$B,0),'【別紙1】標高（入力）'!AD$2,4,TRUE,"【別紙1】標高（入力）"))</f>
        <v/>
      </c>
      <c r="BE142" s="122" t="str">
        <f ca="1">INDIRECT(ADDRESS(MATCH($B142,'【別紙1】標高（入力）'!$B:$B,0),'【別紙1】標高（入力）'!AE$2,4,TRUE,"【別紙1】標高（入力）"))</f>
        <v/>
      </c>
      <c r="BF142" s="122" t="str">
        <f ca="1">INDIRECT(ADDRESS(MATCH($B142,'【別紙1】標高（入力）'!$B:$B,0),'【別紙1】標高（入力）'!AF$2,4,TRUE,"【別紙1】標高（入力）"))</f>
        <v/>
      </c>
      <c r="BG142" s="121">
        <f ca="1">INDIRECT(ADDRESS(MATCH($B142,'【別紙1】標高（入力）'!$B:$B,0),'【別紙1】標高（入力）'!AG$2,4,TRUE,"【別紙1】標高（入力）"))</f>
        <v>41.399999999999878</v>
      </c>
      <c r="BH142" s="634" t="s">
        <v>1333</v>
      </c>
      <c r="BI142" s="569">
        <f ca="1">INDIRECT(ADDRESS(MATCH($B142,'【別紙1】標高（入力）'!$B:$B,0),'【別紙1】標高（入力）'!AI$2,4,TRUE,"【別紙1】標高（入力）"))</f>
        <v>0.90000000000012292</v>
      </c>
      <c r="BJ142" s="598" t="str">
        <f t="shared" ca="1" si="32"/>
        <v>-</v>
      </c>
      <c r="BK142" s="604">
        <f t="shared" ca="1" si="37"/>
        <v>580.69999999999993</v>
      </c>
      <c r="BL142" s="600" t="str">
        <f ca="1">INDIRECT(ADDRESS(MATCH($B142,'【別紙1】標高（入力）'!$B:$B,0),'【別紙1】標高（入力）'!$N$2,4,TRUE,"【別紙1】標高（入力）"))</f>
        <v>R5</v>
      </c>
      <c r="BM142" s="340">
        <f ca="1">INDIRECT(ADDRESS(MATCH($B142,'【別紙1】標高（入力）'!$B:$B,0),'【別紙1】標高（入力）'!$O$2,4,TRUE,"【別紙1】標高（入力）"))</f>
        <v>3.5257000000000001</v>
      </c>
      <c r="BN142" s="392"/>
    </row>
    <row r="143" spans="1:66" ht="15.95" customHeight="1">
      <c r="A143" s="119">
        <v>1001</v>
      </c>
      <c r="B143" s="107" t="s">
        <v>516</v>
      </c>
      <c r="C143" s="114" t="s">
        <v>294</v>
      </c>
      <c r="D143" s="110" t="s">
        <v>663</v>
      </c>
      <c r="E143" s="109" t="s">
        <v>174</v>
      </c>
      <c r="F143" s="111" t="s">
        <v>9</v>
      </c>
      <c r="G143" s="112" t="s">
        <v>127</v>
      </c>
      <c r="H143" s="112" t="s">
        <v>541</v>
      </c>
      <c r="I143" s="112" t="s">
        <v>141</v>
      </c>
      <c r="J143" s="112" t="s">
        <v>270</v>
      </c>
      <c r="K143" s="224"/>
      <c r="L143" s="228"/>
      <c r="M143" s="228"/>
      <c r="N143" s="228"/>
      <c r="O143" s="228"/>
      <c r="P143" s="228"/>
      <c r="Q143" s="221"/>
      <c r="R143" s="124">
        <v>16.100000000000001</v>
      </c>
      <c r="S143" s="136" t="s">
        <v>636</v>
      </c>
      <c r="T143" s="127">
        <v>17.899999999999999</v>
      </c>
      <c r="U143" s="136" t="s">
        <v>93</v>
      </c>
      <c r="V143" s="122"/>
      <c r="W143" s="122"/>
      <c r="X143" s="122"/>
      <c r="Y143" s="122"/>
      <c r="Z143" s="122"/>
      <c r="AA143" s="122"/>
      <c r="AB143" s="122"/>
      <c r="AC143" s="135"/>
      <c r="AD143" s="122"/>
      <c r="AE143" s="122"/>
      <c r="AF143" s="122"/>
      <c r="AG143" s="122"/>
      <c r="AH143" s="121">
        <v>45.6</v>
      </c>
      <c r="AI143" s="139" t="s">
        <v>707</v>
      </c>
      <c r="AJ143" s="122"/>
      <c r="AK143" s="122"/>
      <c r="AL143" s="122"/>
      <c r="AM143" s="122"/>
      <c r="AN143" s="122"/>
      <c r="AO143" s="122"/>
      <c r="AP143" s="122">
        <v>22.6</v>
      </c>
      <c r="AQ143" s="139" t="s">
        <v>1074</v>
      </c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>
        <v>9.5</v>
      </c>
      <c r="BB143" s="139" t="s">
        <v>1336</v>
      </c>
      <c r="BC143" s="122"/>
      <c r="BD143" s="122" t="str">
        <f ca="1">INDIRECT(ADDRESS(MATCH($B143,'【別紙1】標高（入力）'!$B:$B,0),'【別紙1】標高（入力）'!AD$2,4,TRUE,"【別紙1】標高（入力）"))</f>
        <v/>
      </c>
      <c r="BE143" s="122" t="str">
        <f ca="1">INDIRECT(ADDRESS(MATCH($B143,'【別紙1】標高（入力）'!$B:$B,0),'【別紙1】標高（入力）'!AE$2,4,TRUE,"【別紙1】標高（入力）"))</f>
        <v/>
      </c>
      <c r="BF143" s="121">
        <f ca="1">INDIRECT(ADDRESS(MATCH($B143,'【別紙1】標高（入力）'!$B:$B,0),'【別紙1】標高（入力）'!AF$2,4,TRUE,"【別紙1】標高（入力）"))</f>
        <v>1.300000000000523</v>
      </c>
      <c r="BG143" s="139" t="s">
        <v>1384</v>
      </c>
      <c r="BH143" s="121">
        <f ca="1">INDIRECT(ADDRESS(MATCH($B143,'【別紙1】標高（入力）'!$B:$B,0),'【別紙1】標高（入力）'!AH$2,4,TRUE,"【別紙1】標高（入力）"))</f>
        <v>4.5000000000001705</v>
      </c>
      <c r="BI143" s="624"/>
      <c r="BJ143" s="598" t="str">
        <f t="shared" ca="1" si="32"/>
        <v>-</v>
      </c>
      <c r="BK143" s="604">
        <f t="shared" ca="1" si="37"/>
        <v>117.50000000000068</v>
      </c>
      <c r="BL143" s="600" t="str">
        <f ca="1">INDIRECT(ADDRESS(MATCH($B143,'【別紙1】標高（入力）'!$B:$B,0),'【別紙1】標高（入力）'!$N$2,4,TRUE,"【別紙1】標高（入力）"))</f>
        <v>R4</v>
      </c>
      <c r="BM143" s="340">
        <f ca="1">INDIRECT(ADDRESS(MATCH($B143,'【別紙1】標高（入力）'!$B:$B,0),'【別紙1】標高（入力）'!$O$2,4,TRUE,"【別紙1】標高（入力）"))</f>
        <v>35.606699999999996</v>
      </c>
      <c r="BN143" s="392"/>
    </row>
    <row r="144" spans="1:66" ht="15.95" customHeight="1">
      <c r="A144" s="119">
        <v>1002</v>
      </c>
      <c r="B144" s="107" t="s">
        <v>518</v>
      </c>
      <c r="C144" s="114" t="s">
        <v>294</v>
      </c>
      <c r="D144" s="110" t="s">
        <v>706</v>
      </c>
      <c r="E144" s="597" t="s">
        <v>1447</v>
      </c>
      <c r="F144" s="111" t="s">
        <v>9</v>
      </c>
      <c r="G144" s="112" t="s">
        <v>127</v>
      </c>
      <c r="H144" s="112" t="s">
        <v>541</v>
      </c>
      <c r="I144" s="112" t="s">
        <v>141</v>
      </c>
      <c r="J144" s="112" t="s">
        <v>547</v>
      </c>
      <c r="K144" s="224"/>
      <c r="L144" s="228"/>
      <c r="M144" s="228"/>
      <c r="N144" s="228"/>
      <c r="O144" s="228"/>
      <c r="P144" s="228"/>
      <c r="Q144" s="221"/>
      <c r="R144" s="124">
        <v>5.3</v>
      </c>
      <c r="S144" s="233" t="s">
        <v>177</v>
      </c>
      <c r="T144" s="228"/>
      <c r="U144" s="228"/>
      <c r="V144" s="228"/>
      <c r="W144" s="228"/>
      <c r="X144" s="228"/>
      <c r="Y144" s="228"/>
      <c r="Z144" s="228"/>
      <c r="AA144" s="229"/>
      <c r="AB144" s="138" t="s">
        <v>37</v>
      </c>
      <c r="AC144" s="135" t="s">
        <v>1273</v>
      </c>
      <c r="AD144" s="122"/>
      <c r="AE144" s="127">
        <v>7</v>
      </c>
      <c r="AF144" s="136" t="s">
        <v>1274</v>
      </c>
      <c r="AG144" s="122"/>
      <c r="AH144" s="122">
        <v>6.9</v>
      </c>
      <c r="AI144" s="139" t="s">
        <v>707</v>
      </c>
      <c r="AJ144" s="122"/>
      <c r="AK144" s="122"/>
      <c r="AL144" s="122"/>
      <c r="AM144" s="122"/>
      <c r="AN144" s="122"/>
      <c r="AO144" s="122"/>
      <c r="AP144" s="121">
        <v>27</v>
      </c>
      <c r="AQ144" s="135" t="s">
        <v>1072</v>
      </c>
      <c r="AR144" s="122"/>
      <c r="AS144" s="122"/>
      <c r="AT144" s="122"/>
      <c r="AU144" s="122"/>
      <c r="AV144" s="121">
        <v>7.2</v>
      </c>
      <c r="AW144" s="139" t="s">
        <v>1070</v>
      </c>
      <c r="AX144" s="122"/>
      <c r="AY144" s="122"/>
      <c r="AZ144" s="122"/>
      <c r="BA144" s="122">
        <v>6.9</v>
      </c>
      <c r="BB144" s="139" t="s">
        <v>1336</v>
      </c>
      <c r="BC144" s="122"/>
      <c r="BD144" s="122" t="str">
        <f ca="1">INDIRECT(ADDRESS(MATCH($B144,'【別紙1】標高（入力）'!$B:$B,0),'【別紙1】標高（入力）'!AD$2,4,TRUE,"【別紙1】標高（入力）"))</f>
        <v/>
      </c>
      <c r="BE144" s="122" t="str">
        <f ca="1">INDIRECT(ADDRESS(MATCH($B144,'【別紙1】標高（入力）'!$B:$B,0),'【別紙1】標高（入力）'!AE$2,4,TRUE,"【別紙1】標高（入力）"))</f>
        <v/>
      </c>
      <c r="BF144" s="121">
        <f ca="1">INDIRECT(ADDRESS(MATCH($B144,'【別紙1】標高（入力）'!$B:$B,0),'【別紙1】標高（入力）'!AF$2,4,TRUE,"【別紙1】標高（入力）"))</f>
        <v>2.6000000000010459</v>
      </c>
      <c r="BG144" s="139" t="s">
        <v>1384</v>
      </c>
      <c r="BH144" s="121">
        <f ca="1">INDIRECT(ADDRESS(MATCH($B144,'【別紙1】標高（入力）'!$B:$B,0),'【別紙1】標高（入力）'!AH$2,4,TRUE,"【別紙1】標高（入力）"))</f>
        <v>2.400000000001512</v>
      </c>
      <c r="BI144" s="624"/>
      <c r="BJ144" s="598" t="str">
        <f t="shared" ca="1" si="32"/>
        <v>-</v>
      </c>
      <c r="BK144" s="604">
        <f t="shared" ca="1" si="37"/>
        <v>65.300000000002569</v>
      </c>
      <c r="BL144" s="600" t="str">
        <f ca="1">INDIRECT(ADDRESS(MATCH($B144,'【別紙1】標高（入力）'!$B:$B,0),'【別紙1】標高（入力）'!$N$2,4,TRUE,"【別紙1】標高（入力）"))</f>
        <v>R4</v>
      </c>
      <c r="BM144" s="340">
        <f ca="1">INDIRECT(ADDRESS(MATCH($B144,'【別紙1】標高（入力）'!$B:$B,0),'【別紙1】標高（入力）'!$O$2,4,TRUE,"【別紙1】標高（入力）"))</f>
        <v>44.062100000000001</v>
      </c>
      <c r="BN144" s="392"/>
    </row>
    <row r="145" spans="1:66" ht="15.95" customHeight="1" thickBot="1">
      <c r="A145" s="119">
        <v>1003</v>
      </c>
      <c r="B145" s="107" t="s">
        <v>520</v>
      </c>
      <c r="C145" s="114" t="s">
        <v>294</v>
      </c>
      <c r="D145" s="110" t="s">
        <v>649</v>
      </c>
      <c r="E145" s="109" t="s">
        <v>179</v>
      </c>
      <c r="F145" s="111" t="s">
        <v>9</v>
      </c>
      <c r="G145" s="112" t="s">
        <v>10</v>
      </c>
      <c r="H145" s="112" t="s">
        <v>541</v>
      </c>
      <c r="I145" s="112" t="s">
        <v>141</v>
      </c>
      <c r="J145" s="112" t="s">
        <v>547</v>
      </c>
      <c r="K145" s="224"/>
      <c r="L145" s="228"/>
      <c r="M145" s="221"/>
      <c r="N145" s="136" t="s">
        <v>1273</v>
      </c>
      <c r="O145" s="122"/>
      <c r="P145" s="127">
        <v>8.4</v>
      </c>
      <c r="Q145" s="124">
        <v>1.1000000000000001</v>
      </c>
      <c r="R145" s="124">
        <v>6.4</v>
      </c>
      <c r="S145" s="136" t="s">
        <v>636</v>
      </c>
      <c r="T145" s="127">
        <v>2.6</v>
      </c>
      <c r="U145" s="136" t="s">
        <v>1275</v>
      </c>
      <c r="V145" s="122"/>
      <c r="W145" s="122"/>
      <c r="X145" s="122"/>
      <c r="Y145" s="122"/>
      <c r="Z145" s="122"/>
      <c r="AA145" s="122"/>
      <c r="AB145" s="127">
        <v>17.3</v>
      </c>
      <c r="AC145" s="136" t="s">
        <v>1273</v>
      </c>
      <c r="AD145" s="122"/>
      <c r="AE145" s="127">
        <v>-1.2</v>
      </c>
      <c r="AF145" s="136" t="s">
        <v>1273</v>
      </c>
      <c r="AG145" s="122"/>
      <c r="AH145" s="122">
        <v>5.9</v>
      </c>
      <c r="AI145" s="139" t="s">
        <v>707</v>
      </c>
      <c r="AJ145" s="122"/>
      <c r="AK145" s="122"/>
      <c r="AL145" s="122"/>
      <c r="AM145" s="122"/>
      <c r="AN145" s="122"/>
      <c r="AO145" s="122"/>
      <c r="AP145" s="121">
        <v>32.299999999999997</v>
      </c>
      <c r="AQ145" s="135" t="s">
        <v>1072</v>
      </c>
      <c r="AR145" s="122"/>
      <c r="AS145" s="122"/>
      <c r="AT145" s="122"/>
      <c r="AU145" s="122"/>
      <c r="AV145" s="122">
        <v>-9.6</v>
      </c>
      <c r="AW145" s="139" t="s">
        <v>1070</v>
      </c>
      <c r="AX145" s="122"/>
      <c r="AY145" s="122"/>
      <c r="AZ145" s="122"/>
      <c r="BA145" s="122">
        <v>0.9</v>
      </c>
      <c r="BB145" s="139" t="s">
        <v>1336</v>
      </c>
      <c r="BC145" s="122"/>
      <c r="BD145" s="122" t="str">
        <f ca="1">INDIRECT(ADDRESS(MATCH($B145,'【別紙1】標高（入力）'!$B:$B,0),'【別紙1】標高（入力）'!AD$2,4,TRUE,"【別紙1】標高（入力）"))</f>
        <v/>
      </c>
      <c r="BE145" s="122" t="str">
        <f ca="1">INDIRECT(ADDRESS(MATCH($B145,'【別紙1】標高（入力）'!$B:$B,0),'【別紙1】標高（入力）'!AE$2,4,TRUE,"【別紙1】標高（入力）"))</f>
        <v/>
      </c>
      <c r="BF145" s="121">
        <f ca="1">INDIRECT(ADDRESS(MATCH($B145,'【別紙1】標高（入力）'!$B:$B,0),'【別紙1】標高（入力）'!AF$2,4,TRUE,"【別紙1】標高（入力）"))</f>
        <v>-1.2000000000043087</v>
      </c>
      <c r="BG145" s="139" t="s">
        <v>1384</v>
      </c>
      <c r="BH145" s="121">
        <f ca="1">INDIRECT(ADDRESS(MATCH($B145,'【別紙1】標高（入力）'!$B:$B,0),'【別紙1】標高（入力）'!AH$2,4,TRUE,"【別紙1】標高（入力）"))</f>
        <v>2.6000000000010459</v>
      </c>
      <c r="BI145" s="624"/>
      <c r="BJ145" s="635" t="str">
        <f t="shared" ca="1" si="32"/>
        <v>-</v>
      </c>
      <c r="BK145" s="636">
        <f t="shared" ca="1" si="37"/>
        <v>65.499999999996717</v>
      </c>
      <c r="BL145" s="637" t="str">
        <f ca="1">INDIRECT(ADDRESS(MATCH($B145,'【別紙1】標高（入力）'!$B:$B,0),'【別紙1】標高（入力）'!$N$2,4,TRUE,"【別紙1】標高（入力）"))</f>
        <v>R4</v>
      </c>
      <c r="BM145" s="638">
        <f ca="1">INDIRECT(ADDRESS(MATCH($B145,'【別紙1】標高（入力）'!$B:$B,0),'【別紙1】標高（入力）'!$O$2,4,TRUE,"【別紙1】標高（入力）"))</f>
        <v>32.077300000000001</v>
      </c>
      <c r="BN145" s="392"/>
    </row>
    <row r="146" spans="1:66">
      <c r="BH146" s="590" t="s">
        <v>1387</v>
      </c>
      <c r="BI146" s="590"/>
      <c r="BJ146" s="524">
        <f ca="1">MAX(BJ5:BJ145)</f>
        <v>5.3999999999998494</v>
      </c>
    </row>
    <row r="147" spans="1:66">
      <c r="A147" s="101">
        <v>1</v>
      </c>
      <c r="B147" s="100" t="s">
        <v>1254</v>
      </c>
      <c r="C147" s="101">
        <v>3</v>
      </c>
      <c r="D147" s="102">
        <v>4</v>
      </c>
      <c r="F147" s="101">
        <v>6</v>
      </c>
      <c r="G147" s="101">
        <v>7</v>
      </c>
      <c r="H147" s="101">
        <v>8</v>
      </c>
      <c r="I147" s="101">
        <v>9</v>
      </c>
      <c r="J147" s="101">
        <v>10</v>
      </c>
      <c r="K147" s="101">
        <v>11</v>
      </c>
      <c r="L147" s="101">
        <v>12</v>
      </c>
      <c r="M147" s="101">
        <v>13</v>
      </c>
      <c r="N147" s="101">
        <v>14</v>
      </c>
      <c r="O147" s="101">
        <v>15</v>
      </c>
      <c r="P147" s="101">
        <v>16</v>
      </c>
      <c r="Q147" s="101">
        <v>17</v>
      </c>
      <c r="R147" s="101">
        <v>18</v>
      </c>
      <c r="S147" s="101">
        <v>19</v>
      </c>
      <c r="T147" s="101">
        <v>20</v>
      </c>
      <c r="U147" s="101">
        <v>21</v>
      </c>
      <c r="V147" s="101">
        <v>22</v>
      </c>
      <c r="W147" s="101">
        <v>23</v>
      </c>
      <c r="X147" s="101">
        <v>24</v>
      </c>
      <c r="Y147" s="101">
        <v>25</v>
      </c>
      <c r="Z147" s="101">
        <v>26</v>
      </c>
      <c r="AA147" s="101">
        <v>27</v>
      </c>
      <c r="AB147" s="101">
        <v>28</v>
      </c>
      <c r="AC147" s="101">
        <v>29</v>
      </c>
      <c r="AD147" s="101">
        <v>30</v>
      </c>
      <c r="AE147" s="101">
        <v>31</v>
      </c>
      <c r="AF147" s="101">
        <v>32</v>
      </c>
      <c r="AG147" s="101">
        <v>33</v>
      </c>
      <c r="AH147" s="101">
        <v>34</v>
      </c>
      <c r="AI147" s="101">
        <v>35</v>
      </c>
      <c r="AJ147" s="101">
        <v>36</v>
      </c>
      <c r="AK147" s="101">
        <v>37</v>
      </c>
      <c r="AL147" s="101">
        <v>38</v>
      </c>
      <c r="AM147" s="101">
        <v>39</v>
      </c>
      <c r="AN147" s="101">
        <v>40</v>
      </c>
      <c r="AO147" s="101">
        <v>41</v>
      </c>
      <c r="AP147" s="101">
        <v>42</v>
      </c>
      <c r="AQ147" s="101">
        <v>43</v>
      </c>
      <c r="AR147" s="101">
        <v>44</v>
      </c>
      <c r="AS147" s="101">
        <v>45</v>
      </c>
      <c r="AT147" s="101">
        <v>46</v>
      </c>
      <c r="AU147" s="101">
        <v>47</v>
      </c>
      <c r="AV147" s="101">
        <v>48</v>
      </c>
      <c r="AW147" s="101">
        <v>49</v>
      </c>
      <c r="AX147" s="101">
        <v>50</v>
      </c>
      <c r="AY147" s="101">
        <v>51</v>
      </c>
      <c r="AZ147" s="101">
        <v>52</v>
      </c>
      <c r="BA147" s="101">
        <v>53</v>
      </c>
      <c r="BB147" s="101">
        <v>54</v>
      </c>
      <c r="BC147" s="101">
        <v>55</v>
      </c>
      <c r="BD147" s="101">
        <v>56</v>
      </c>
      <c r="BE147" s="101">
        <v>57</v>
      </c>
      <c r="BF147" s="101">
        <v>58</v>
      </c>
      <c r="BG147" s="101"/>
      <c r="BH147" s="101"/>
      <c r="BI147" s="101"/>
      <c r="BJ147" s="101"/>
    </row>
    <row r="148" spans="1:66">
      <c r="BK148" s="524">
        <f ca="1">MAX(BK5:BK145)</f>
        <v>904.40000000000009</v>
      </c>
    </row>
    <row r="150" spans="1:66">
      <c r="AY150" s="404">
        <f t="shared" ref="AY150:BE150" si="38">COUNTA(AY5:AY145)-COUNTIF(AY5:AY145,"2年累積")-COUNTIF(AY5:AY145,"3年累積")-COUNTIF(AY5:AY145,"4年累積")-COUNTIF(AY5:AY145,"5年累積")</f>
        <v>50</v>
      </c>
      <c r="AZ150" s="404">
        <f t="shared" si="38"/>
        <v>39</v>
      </c>
      <c r="BA150" s="404">
        <f t="shared" si="38"/>
        <v>52</v>
      </c>
      <c r="BB150" s="404">
        <f t="shared" si="38"/>
        <v>40</v>
      </c>
      <c r="BC150" s="404">
        <f t="shared" si="38"/>
        <v>48</v>
      </c>
      <c r="BD150" s="403">
        <f t="shared" ref="BD150" ca="1" si="39">COUNTA(BD5:BD145)-COUNTIF(BD5:BD145,"2年累積")-COUNTIF(BD5:BD145,"3年累積")-COUNTIF(BD5:BD145,"4年累積")-COUNTIF(BD5:BD145,"5年累積")</f>
        <v>100</v>
      </c>
      <c r="BE150" s="403">
        <f t="shared" ca="1" si="38"/>
        <v>93</v>
      </c>
      <c r="BF150" s="403">
        <f t="shared" ref="BF150:BH150" ca="1" si="40">COUNTA(BF5:BF145)-COUNTIF(BF5:BF145,"2年累積")-COUNTIF(BF5:BF145,"3年累積")-COUNTIF(BF5:BF145,"4年累積")-COUNTIF(BF5:BF145,"5年累積")</f>
        <v>110</v>
      </c>
      <c r="BG150" s="403">
        <f t="shared" ca="1" si="40"/>
        <v>106</v>
      </c>
      <c r="BH150" s="403">
        <f t="shared" ca="1" si="40"/>
        <v>120</v>
      </c>
      <c r="BI150" s="403">
        <f t="shared" ref="BI150" ca="1" si="41">COUNTA(BI5:BI145)-COUNTIF(BI5:BI145,"2年累積")-COUNTIF(BI5:BI145,"3年累積")-COUNTIF(BI5:BI145,"4年累積")-COUNTIF(BI5:BI145,"5年累積")</f>
        <v>32</v>
      </c>
      <c r="BJ150" s="403"/>
    </row>
    <row r="151" spans="1:66">
      <c r="AX151" s="403" t="s">
        <v>1259</v>
      </c>
      <c r="AY151" s="403">
        <f t="shared" ref="AY151:BE151" si="42">COUNTIF(AY5:AY145,"値付")</f>
        <v>2</v>
      </c>
      <c r="AZ151" s="403">
        <f t="shared" si="42"/>
        <v>0</v>
      </c>
      <c r="BA151" s="403">
        <f t="shared" si="42"/>
        <v>0</v>
      </c>
      <c r="BB151" s="403">
        <f t="shared" si="42"/>
        <v>0</v>
      </c>
      <c r="BC151" s="403">
        <f t="shared" si="42"/>
        <v>1</v>
      </c>
      <c r="BD151" s="403">
        <f t="shared" ref="BD151" ca="1" si="43">COUNTIF(BD5:BD145,"値付")</f>
        <v>2</v>
      </c>
      <c r="BE151" s="403">
        <f t="shared" ca="1" si="42"/>
        <v>0</v>
      </c>
      <c r="BF151" s="403">
        <f t="shared" ref="BF151:BH151" ca="1" si="44">COUNTIF(BF5:BF145,"値付")</f>
        <v>2</v>
      </c>
      <c r="BG151" s="403">
        <f t="shared" ca="1" si="44"/>
        <v>0</v>
      </c>
      <c r="BH151" s="403">
        <f t="shared" ca="1" si="44"/>
        <v>0</v>
      </c>
      <c r="BI151" s="403">
        <f t="shared" ref="BI151" ca="1" si="45">COUNTIF(BI5:BI145,"値付")</f>
        <v>0</v>
      </c>
      <c r="BJ151" s="403"/>
    </row>
    <row r="152" spans="1:66">
      <c r="AX152" s="403" t="s">
        <v>1258</v>
      </c>
      <c r="AY152" s="404">
        <f t="shared" ref="AY152:BE152" si="46">AY150-AY151</f>
        <v>48</v>
      </c>
      <c r="AZ152" s="404">
        <f t="shared" si="46"/>
        <v>39</v>
      </c>
      <c r="BA152" s="403">
        <f t="shared" si="46"/>
        <v>52</v>
      </c>
      <c r="BB152" s="403">
        <f t="shared" si="46"/>
        <v>40</v>
      </c>
      <c r="BC152" s="403">
        <f t="shared" si="46"/>
        <v>47</v>
      </c>
      <c r="BD152" s="403">
        <f t="shared" ref="BD152" ca="1" si="47">BD150-BD151</f>
        <v>98</v>
      </c>
      <c r="BE152" s="403">
        <f t="shared" ca="1" si="46"/>
        <v>93</v>
      </c>
      <c r="BF152" s="403">
        <f t="shared" ref="BF152:BH152" ca="1" si="48">BF150-BF151</f>
        <v>108</v>
      </c>
      <c r="BG152" s="403">
        <f t="shared" ca="1" si="48"/>
        <v>106</v>
      </c>
      <c r="BH152" s="403">
        <f t="shared" ca="1" si="48"/>
        <v>120</v>
      </c>
      <c r="BI152" s="403">
        <f t="shared" ref="BI152" ca="1" si="49">BI150-BI151</f>
        <v>32</v>
      </c>
      <c r="BJ152" s="403"/>
    </row>
    <row r="155" spans="1:66">
      <c r="BF155" s="104" t="s">
        <v>1344</v>
      </c>
      <c r="BJ155" s="104">
        <f ca="1">COUNTIF($BJ$5:$BJ$145,"&lt;0")</f>
        <v>1</v>
      </c>
    </row>
    <row r="156" spans="1:66">
      <c r="BF156" s="104" t="s">
        <v>1345</v>
      </c>
      <c r="BJ156" s="104">
        <f ca="1">COUNTIF($BJ$5:$BJ$145,"&gt;0")</f>
        <v>9</v>
      </c>
    </row>
    <row r="157" spans="1:66">
      <c r="BF157" s="104" t="s">
        <v>1346</v>
      </c>
      <c r="BJ157" s="104">
        <f ca="1">COUNTIF($BJ$5:$BJ$145,"-")</f>
        <v>131</v>
      </c>
    </row>
    <row r="158" spans="1:66">
      <c r="BF158" s="104" t="s">
        <v>1347</v>
      </c>
      <c r="BJ158" s="104">
        <f ca="1">SUM(BJ155:BJ157)</f>
        <v>141</v>
      </c>
    </row>
  </sheetData>
  <autoFilter ref="A4:BN147" xr:uid="{00000000-0009-0000-0000-000005000000}"/>
  <mergeCells count="13">
    <mergeCell ref="D3:D4"/>
    <mergeCell ref="C3:C4"/>
    <mergeCell ref="A3:A4"/>
    <mergeCell ref="B3:B4"/>
    <mergeCell ref="E3:E4"/>
    <mergeCell ref="G3:G4"/>
    <mergeCell ref="F3:F4"/>
    <mergeCell ref="BN3:BN4"/>
    <mergeCell ref="J3:J4"/>
    <mergeCell ref="I3:I4"/>
    <mergeCell ref="H3:H4"/>
    <mergeCell ref="BL3:BM3"/>
    <mergeCell ref="BJ3:BK3"/>
  </mergeCells>
  <phoneticPr fontId="1"/>
  <printOptions horizontalCentered="1"/>
  <pageMargins left="1.1811023622047245" right="0.39370078740157483" top="0.74803149606299213" bottom="0.39370078740157483" header="0.11811023622047245" footer="0.11811023622047245"/>
  <pageSetup paperSize="8" scale="33" fitToHeight="0" orientation="landscape" r:id="rId1"/>
  <headerFooter alignWithMargins="0"/>
  <rowBreaks count="1" manualBreakCount="1">
    <brk id="86" max="5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BJ152"/>
  <sheetViews>
    <sheetView showGridLines="0" view="pageBreakPreview" zoomScale="70" zoomScaleNormal="85" zoomScaleSheetLayoutView="70" workbookViewId="0">
      <pane xSplit="10" ySplit="4" topLeftCell="AM5" activePane="bottomRight" state="frozen"/>
      <selection activeCell="C76" sqref="C76"/>
      <selection pane="topRight" activeCell="C76" sqref="C76"/>
      <selection pane="bottomLeft" activeCell="C76" sqref="C76"/>
      <selection pane="bottomRight" activeCell="BE5" sqref="BE5"/>
    </sheetView>
  </sheetViews>
  <sheetFormatPr defaultRowHeight="14.25"/>
  <cols>
    <col min="1" max="1" width="5.625" style="101" customWidth="1"/>
    <col min="2" max="2" width="9.25" style="100" customWidth="1"/>
    <col min="3" max="3" width="5.625" style="101" customWidth="1"/>
    <col min="4" max="5" width="25.625" style="102" customWidth="1"/>
    <col min="6" max="7" width="5.625" style="101" customWidth="1"/>
    <col min="8" max="8" width="6.625" style="101" customWidth="1"/>
    <col min="9" max="10" width="10.625" style="101" customWidth="1"/>
    <col min="11" max="28" width="8.125" style="102" customWidth="1"/>
    <col min="29" max="34" width="8.125" style="103" customWidth="1"/>
    <col min="35" max="40" width="8.125" style="102" customWidth="1"/>
    <col min="41" max="46" width="8.125" style="103" customWidth="1"/>
    <col min="47" max="59" width="8.125" style="104" customWidth="1"/>
    <col min="60" max="60" width="5.625" style="330" customWidth="1"/>
    <col min="61" max="61" width="10.625" style="345" customWidth="1"/>
    <col min="62" max="62" width="20.625" style="103" customWidth="1"/>
    <col min="63" max="63" width="11.25" style="102" customWidth="1"/>
    <col min="64" max="16384" width="9" style="102"/>
  </cols>
  <sheetData>
    <row r="1" spans="1:62" ht="28.5">
      <c r="A1" s="105" t="s">
        <v>1338</v>
      </c>
      <c r="D1" s="99"/>
      <c r="BI1" s="337"/>
      <c r="BJ1" s="97" t="s">
        <v>1250</v>
      </c>
    </row>
    <row r="2" spans="1:62" s="325" customFormat="1" ht="12" customHeight="1">
      <c r="B2" s="326"/>
      <c r="AC2" s="327"/>
      <c r="AD2" s="327"/>
      <c r="AE2" s="327"/>
      <c r="AF2" s="327"/>
      <c r="AG2" s="327"/>
      <c r="AH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31"/>
      <c r="BI2" s="338"/>
      <c r="BJ2" s="328"/>
    </row>
    <row r="3" spans="1:62" s="98" customFormat="1" ht="15.95" customHeight="1">
      <c r="A3" s="707" t="s">
        <v>601</v>
      </c>
      <c r="B3" s="717" t="s">
        <v>521</v>
      </c>
      <c r="C3" s="711" t="s">
        <v>635</v>
      </c>
      <c r="D3" s="707" t="s">
        <v>606</v>
      </c>
      <c r="E3" s="718" t="s">
        <v>608</v>
      </c>
      <c r="F3" s="709" t="s">
        <v>2</v>
      </c>
      <c r="G3" s="707" t="s">
        <v>3</v>
      </c>
      <c r="H3" s="707" t="s">
        <v>4</v>
      </c>
      <c r="I3" s="707" t="s">
        <v>5</v>
      </c>
      <c r="J3" s="707" t="s">
        <v>262</v>
      </c>
      <c r="K3" s="408" t="s">
        <v>19</v>
      </c>
      <c r="L3" s="408" t="s">
        <v>609</v>
      </c>
      <c r="M3" s="408" t="s">
        <v>10</v>
      </c>
      <c r="N3" s="408" t="s">
        <v>73</v>
      </c>
      <c r="O3" s="408" t="s">
        <v>223</v>
      </c>
      <c r="P3" s="408" t="s">
        <v>31</v>
      </c>
      <c r="Q3" s="408" t="s">
        <v>127</v>
      </c>
      <c r="R3" s="408" t="s">
        <v>610</v>
      </c>
      <c r="S3" s="408" t="s">
        <v>611</v>
      </c>
      <c r="T3" s="408" t="s">
        <v>612</v>
      </c>
      <c r="U3" s="408" t="s">
        <v>613</v>
      </c>
      <c r="V3" s="408" t="s">
        <v>614</v>
      </c>
      <c r="W3" s="408" t="s">
        <v>615</v>
      </c>
      <c r="X3" s="408" t="s">
        <v>616</v>
      </c>
      <c r="Y3" s="408" t="s">
        <v>617</v>
      </c>
      <c r="Z3" s="408" t="s">
        <v>618</v>
      </c>
      <c r="AA3" s="408" t="s">
        <v>1255</v>
      </c>
      <c r="AB3" s="408" t="s">
        <v>619</v>
      </c>
      <c r="AC3" s="408" t="s">
        <v>620</v>
      </c>
      <c r="AD3" s="408" t="s">
        <v>621</v>
      </c>
      <c r="AE3" s="408" t="s">
        <v>622</v>
      </c>
      <c r="AF3" s="408" t="s">
        <v>36</v>
      </c>
      <c r="AG3" s="408" t="s">
        <v>623</v>
      </c>
      <c r="AH3" s="382" t="s">
        <v>545</v>
      </c>
      <c r="AI3" s="408" t="s">
        <v>255</v>
      </c>
      <c r="AJ3" s="408" t="s">
        <v>624</v>
      </c>
      <c r="AK3" s="408" t="s">
        <v>625</v>
      </c>
      <c r="AL3" s="408" t="s">
        <v>626</v>
      </c>
      <c r="AM3" s="408" t="s">
        <v>627</v>
      </c>
      <c r="AN3" s="408" t="s">
        <v>543</v>
      </c>
      <c r="AO3" s="408" t="s">
        <v>628</v>
      </c>
      <c r="AP3" s="408" t="s">
        <v>555</v>
      </c>
      <c r="AQ3" s="408" t="s">
        <v>343</v>
      </c>
      <c r="AR3" s="408" t="s">
        <v>345</v>
      </c>
      <c r="AS3" s="408" t="s">
        <v>629</v>
      </c>
      <c r="AT3" s="408" t="s">
        <v>554</v>
      </c>
      <c r="AU3" s="408" t="s">
        <v>630</v>
      </c>
      <c r="AV3" s="408" t="s">
        <v>556</v>
      </c>
      <c r="AW3" s="408" t="s">
        <v>550</v>
      </c>
      <c r="AX3" s="408" t="s">
        <v>552</v>
      </c>
      <c r="AY3" s="408" t="s">
        <v>553</v>
      </c>
      <c r="AZ3" s="408" t="s">
        <v>551</v>
      </c>
      <c r="BA3" s="408" t="s">
        <v>548</v>
      </c>
      <c r="BB3" s="408" t="s">
        <v>549</v>
      </c>
      <c r="BC3" s="382" t="s">
        <v>535</v>
      </c>
      <c r="BD3" s="382" t="s">
        <v>536</v>
      </c>
      <c r="BE3" s="434" t="s">
        <v>1283</v>
      </c>
      <c r="BF3" s="720" t="s">
        <v>1251</v>
      </c>
      <c r="BG3" s="721"/>
      <c r="BH3" s="713" t="s">
        <v>632</v>
      </c>
      <c r="BI3" s="714"/>
      <c r="BJ3" s="711" t="s">
        <v>605</v>
      </c>
    </row>
    <row r="4" spans="1:62" s="96" customFormat="1" ht="15.95" customHeight="1">
      <c r="A4" s="708"/>
      <c r="B4" s="717"/>
      <c r="C4" s="712"/>
      <c r="D4" s="708"/>
      <c r="E4" s="719"/>
      <c r="F4" s="710"/>
      <c r="G4" s="708"/>
      <c r="H4" s="708"/>
      <c r="I4" s="708"/>
      <c r="J4" s="708"/>
      <c r="K4" s="120">
        <v>1973</v>
      </c>
      <c r="L4" s="409">
        <v>1974</v>
      </c>
      <c r="M4" s="120">
        <v>1975</v>
      </c>
      <c r="N4" s="409">
        <v>1976</v>
      </c>
      <c r="O4" s="120">
        <v>1977</v>
      </c>
      <c r="P4" s="409">
        <v>1978</v>
      </c>
      <c r="Q4" s="120">
        <v>1979</v>
      </c>
      <c r="R4" s="409">
        <v>1980</v>
      </c>
      <c r="S4" s="120">
        <v>1981</v>
      </c>
      <c r="T4" s="409">
        <v>1982</v>
      </c>
      <c r="U4" s="120">
        <v>1983</v>
      </c>
      <c r="V4" s="409">
        <v>1984</v>
      </c>
      <c r="W4" s="120">
        <v>1985</v>
      </c>
      <c r="X4" s="409">
        <v>1986</v>
      </c>
      <c r="Y4" s="120">
        <v>1987</v>
      </c>
      <c r="Z4" s="421">
        <v>1988</v>
      </c>
      <c r="AA4" s="422">
        <v>1989</v>
      </c>
      <c r="AB4" s="421">
        <v>1990</v>
      </c>
      <c r="AC4" s="120">
        <v>1991</v>
      </c>
      <c r="AD4" s="409">
        <v>1992</v>
      </c>
      <c r="AE4" s="120">
        <v>1993</v>
      </c>
      <c r="AF4" s="409">
        <v>1994</v>
      </c>
      <c r="AG4" s="120">
        <v>1995</v>
      </c>
      <c r="AH4" s="120">
        <v>1996</v>
      </c>
      <c r="AI4" s="120">
        <v>1997</v>
      </c>
      <c r="AJ4" s="409">
        <v>1998</v>
      </c>
      <c r="AK4" s="120">
        <v>1999</v>
      </c>
      <c r="AL4" s="409">
        <v>2000</v>
      </c>
      <c r="AM4" s="120">
        <v>2001</v>
      </c>
      <c r="AN4" s="409">
        <v>2002</v>
      </c>
      <c r="AO4" s="120">
        <v>2003</v>
      </c>
      <c r="AP4" s="409">
        <v>2004</v>
      </c>
      <c r="AQ4" s="120">
        <v>2005</v>
      </c>
      <c r="AR4" s="409">
        <v>2006</v>
      </c>
      <c r="AS4" s="120">
        <v>2007</v>
      </c>
      <c r="AT4" s="409">
        <v>2008</v>
      </c>
      <c r="AU4" s="120">
        <v>2009</v>
      </c>
      <c r="AV4" s="409">
        <v>2010</v>
      </c>
      <c r="AW4" s="120">
        <v>2011</v>
      </c>
      <c r="AX4" s="409">
        <v>2012</v>
      </c>
      <c r="AY4" s="120">
        <v>2013</v>
      </c>
      <c r="AZ4" s="409">
        <v>2014</v>
      </c>
      <c r="BA4" s="120">
        <v>2015</v>
      </c>
      <c r="BB4" s="409">
        <v>2016</v>
      </c>
      <c r="BC4" s="120">
        <v>2017</v>
      </c>
      <c r="BD4" s="120">
        <v>2018</v>
      </c>
      <c r="BE4" s="435">
        <v>2019</v>
      </c>
      <c r="BF4" s="384" t="s">
        <v>1252</v>
      </c>
      <c r="BG4" s="385" t="s">
        <v>1253</v>
      </c>
      <c r="BH4" s="332" t="s">
        <v>634</v>
      </c>
      <c r="BI4" s="339" t="s">
        <v>631</v>
      </c>
      <c r="BJ4" s="712"/>
    </row>
    <row r="5" spans="1:62" ht="15.95" customHeight="1">
      <c r="A5" s="118">
        <v>101</v>
      </c>
      <c r="B5" s="107" t="s">
        <v>582</v>
      </c>
      <c r="C5" s="114" t="s">
        <v>6</v>
      </c>
      <c r="D5" s="110" t="s">
        <v>7</v>
      </c>
      <c r="E5" s="109" t="s">
        <v>8</v>
      </c>
      <c r="F5" s="106" t="s">
        <v>9</v>
      </c>
      <c r="G5" s="108" t="s">
        <v>10</v>
      </c>
      <c r="H5" s="108" t="s">
        <v>541</v>
      </c>
      <c r="I5" s="108" t="s">
        <v>11</v>
      </c>
      <c r="J5" s="108" t="s">
        <v>263</v>
      </c>
      <c r="K5" s="224"/>
      <c r="L5" s="228"/>
      <c r="M5" s="221"/>
      <c r="N5" s="124">
        <v>1.3</v>
      </c>
      <c r="O5" s="124">
        <v>-4.7</v>
      </c>
      <c r="P5" s="124">
        <v>15</v>
      </c>
      <c r="Q5" s="124">
        <v>6.6</v>
      </c>
      <c r="R5" s="124">
        <v>2.5</v>
      </c>
      <c r="S5" s="124">
        <v>-1.9</v>
      </c>
      <c r="T5" s="124">
        <v>4.0999999999999996</v>
      </c>
      <c r="U5" s="124">
        <v>1.9</v>
      </c>
      <c r="V5" s="124">
        <v>2.5</v>
      </c>
      <c r="W5" s="124">
        <v>13.1</v>
      </c>
      <c r="X5" s="124">
        <v>-2.5</v>
      </c>
      <c r="Y5" s="123">
        <v>-9.5</v>
      </c>
      <c r="Z5" s="432">
        <f>ROUND(15.3/3,1)</f>
        <v>5.0999999999999996</v>
      </c>
      <c r="AA5" s="432">
        <f>ROUND(15.3/3,1)</f>
        <v>5.0999999999999996</v>
      </c>
      <c r="AB5" s="432">
        <f>ROUND(15.3/3,1)</f>
        <v>5.0999999999999996</v>
      </c>
      <c r="AC5" s="127">
        <v>8.5</v>
      </c>
      <c r="AD5" s="124">
        <v>0</v>
      </c>
      <c r="AE5" s="124">
        <v>-1.9</v>
      </c>
      <c r="AF5" s="124">
        <v>6.3</v>
      </c>
      <c r="AG5" s="124">
        <v>4.8</v>
      </c>
      <c r="AH5" s="123">
        <v>-5.7</v>
      </c>
      <c r="AI5" s="125">
        <v>10.4</v>
      </c>
      <c r="AJ5" s="123">
        <v>-1.4</v>
      </c>
      <c r="AK5" s="123">
        <v>-2.1</v>
      </c>
      <c r="AL5" s="123">
        <v>6.1</v>
      </c>
      <c r="AM5" s="124">
        <v>1.0999999999974399</v>
      </c>
      <c r="AN5" s="123">
        <v>-6.5</v>
      </c>
      <c r="AO5" s="125">
        <v>9.6999999999999993</v>
      </c>
      <c r="AP5" s="125">
        <v>6.1</v>
      </c>
      <c r="AQ5" s="432">
        <f>ROUND(6.4/3,1)</f>
        <v>2.1</v>
      </c>
      <c r="AR5" s="432">
        <f>ROUND(6.4/3,1)</f>
        <v>2.1</v>
      </c>
      <c r="AS5" s="432">
        <f>ROUND(6.4/3,1)+0.1</f>
        <v>2.2000000000000002</v>
      </c>
      <c r="AT5" s="122">
        <v>3.3</v>
      </c>
      <c r="AU5" s="125">
        <v>-1.9</v>
      </c>
      <c r="AV5" s="125">
        <v>2</v>
      </c>
      <c r="AW5" s="432">
        <f>ROUND(2/3,1)</f>
        <v>0.7</v>
      </c>
      <c r="AX5" s="432">
        <f>ROUND(2/3,1)</f>
        <v>0.7</v>
      </c>
      <c r="AY5" s="432">
        <f>ROUND(2/3,1)-0.1</f>
        <v>0.6</v>
      </c>
      <c r="AZ5" s="432">
        <f>ROUND(0.4/2,1)</f>
        <v>0.2</v>
      </c>
      <c r="BA5" s="432">
        <f>ROUND(0.4/2,1)</f>
        <v>0.2</v>
      </c>
      <c r="BB5" s="432">
        <f>ROUND(1.2/3,1)</f>
        <v>0.4</v>
      </c>
      <c r="BC5" s="432">
        <f>ROUND(1.2/3,1)</f>
        <v>0.4</v>
      </c>
      <c r="BD5" s="429">
        <f>ROUND(1.2/3,1)</f>
        <v>0.4</v>
      </c>
      <c r="BE5" s="141" t="s">
        <v>247</v>
      </c>
      <c r="BF5" s="431"/>
      <c r="BG5" s="368"/>
      <c r="BH5" s="333" t="str">
        <f ca="1">INDIRECT(ADDRESS(MATCH($B5,'【別紙1】標高（入力）'!$B:$B,0),'【別紙1】標高（入力）'!$N$2,4,TRUE,"【別紙1】標高（入力）"))</f>
        <v>R5</v>
      </c>
      <c r="BI5" s="340">
        <f ca="1">INDIRECT(ADDRESS(MATCH($B5,'【別紙1】標高（入力）'!$B:$B,0),'【別紙1】標高（入力）'!$O$2,4,TRUE,"【別紙1】標高（入力）"))</f>
        <v>16.055299999999999</v>
      </c>
      <c r="BJ5" s="392"/>
    </row>
    <row r="6" spans="1:62" ht="15.95" customHeight="1">
      <c r="A6" s="119">
        <v>102</v>
      </c>
      <c r="B6" s="107" t="s">
        <v>410</v>
      </c>
      <c r="C6" s="114" t="s">
        <v>6</v>
      </c>
      <c r="D6" s="110" t="s">
        <v>693</v>
      </c>
      <c r="E6" s="109" t="s">
        <v>694</v>
      </c>
      <c r="F6" s="111" t="s">
        <v>12</v>
      </c>
      <c r="G6" s="112" t="s">
        <v>10</v>
      </c>
      <c r="H6" s="112" t="s">
        <v>541</v>
      </c>
      <c r="I6" s="112" t="s">
        <v>11</v>
      </c>
      <c r="J6" s="112" t="s">
        <v>263</v>
      </c>
      <c r="K6" s="224"/>
      <c r="L6" s="228"/>
      <c r="M6" s="221"/>
      <c r="N6" s="124">
        <v>-4.2</v>
      </c>
      <c r="O6" s="124">
        <v>-2.6</v>
      </c>
      <c r="P6" s="124">
        <v>12.1</v>
      </c>
      <c r="Q6" s="124">
        <v>6.1</v>
      </c>
      <c r="R6" s="124">
        <v>1.6</v>
      </c>
      <c r="S6" s="124">
        <v>-2.9</v>
      </c>
      <c r="T6" s="124">
        <v>3.2</v>
      </c>
      <c r="U6" s="124">
        <v>0.5</v>
      </c>
      <c r="V6" s="124">
        <v>1.5</v>
      </c>
      <c r="W6" s="124">
        <v>13.5</v>
      </c>
      <c r="X6" s="124">
        <v>-4.0999999999999996</v>
      </c>
      <c r="Y6" s="124">
        <v>-10.7</v>
      </c>
      <c r="Z6" s="406">
        <v>7.9</v>
      </c>
      <c r="AA6" s="406">
        <v>5.6</v>
      </c>
      <c r="AB6" s="406">
        <v>-1.7</v>
      </c>
      <c r="AC6" s="406">
        <v>6</v>
      </c>
      <c r="AD6" s="406">
        <v>-1.1000000000000001</v>
      </c>
      <c r="AE6" s="406">
        <v>-3.3</v>
      </c>
      <c r="AF6" s="406">
        <v>5.7</v>
      </c>
      <c r="AG6" s="406">
        <v>4.5</v>
      </c>
      <c r="AH6" s="420">
        <v>-5.7</v>
      </c>
      <c r="AI6" s="125">
        <v>9.1999999999999993</v>
      </c>
      <c r="AJ6" s="122">
        <v>-0.9</v>
      </c>
      <c r="AK6" s="122">
        <v>-2.9</v>
      </c>
      <c r="AL6" s="122">
        <v>6</v>
      </c>
      <c r="AM6" s="122">
        <v>1.10000000000099</v>
      </c>
      <c r="AN6" s="138" t="s">
        <v>256</v>
      </c>
      <c r="AO6" s="125">
        <v>9.4</v>
      </c>
      <c r="AP6" s="139" t="s">
        <v>260</v>
      </c>
      <c r="AQ6" s="432">
        <f>ROUND(0.2/3,1)</f>
        <v>0.1</v>
      </c>
      <c r="AR6" s="432">
        <f>ROUND(0.2/3,1)</f>
        <v>0.1</v>
      </c>
      <c r="AS6" s="432">
        <f>ROUND(0.2/3,1)-0.1</f>
        <v>0</v>
      </c>
      <c r="AT6" s="122">
        <v>3.1</v>
      </c>
      <c r="AU6" s="125">
        <v>-4.5999999999999996</v>
      </c>
      <c r="AV6" s="125">
        <v>1.4</v>
      </c>
      <c r="AW6" s="432">
        <f>ROUND(1.1/3,1)</f>
        <v>0.4</v>
      </c>
      <c r="AX6" s="432">
        <f>ROUND(1.1/3,1)</f>
        <v>0.4</v>
      </c>
      <c r="AY6" s="432">
        <f>ROUND(1.1/3,1)-0.1</f>
        <v>0.30000000000000004</v>
      </c>
      <c r="AZ6" s="432">
        <f>ROUND(-1.1/2,1)</f>
        <v>-0.6</v>
      </c>
      <c r="BA6" s="432">
        <f>ROUND(-1.1/2,1)+0.1</f>
        <v>-0.5</v>
      </c>
      <c r="BB6" s="432">
        <f>ROUND(0/3,1)</f>
        <v>0</v>
      </c>
      <c r="BC6" s="432">
        <f>ROUND(0/3,1)</f>
        <v>0</v>
      </c>
      <c r="BD6" s="429">
        <f>ROUND(0/3,1)</f>
        <v>0</v>
      </c>
      <c r="BE6" s="141" t="s">
        <v>247</v>
      </c>
      <c r="BF6" s="431"/>
      <c r="BG6" s="368"/>
      <c r="BH6" s="333" t="e">
        <f ca="1">INDIRECT(ADDRESS(MATCH($B6,'【別紙1】標高（入力）'!$B:$B,0),'【別紙1】標高（入力）'!$N$2,4,TRUE,"【別紙1】標高（入力）"))</f>
        <v>#N/A</v>
      </c>
      <c r="BI6" s="340" t="e">
        <f ca="1">INDIRECT(ADDRESS(MATCH($B6,'【別紙1】標高（入力）'!$B:$B,0),'【別紙1】標高（入力）'!$O$2,4,TRUE,"【別紙1】標高（入力）"))</f>
        <v>#N/A</v>
      </c>
      <c r="BJ6" s="392"/>
    </row>
    <row r="7" spans="1:62" ht="15.95" customHeight="1">
      <c r="A7" s="119">
        <v>103</v>
      </c>
      <c r="B7" s="107" t="s">
        <v>676</v>
      </c>
      <c r="C7" s="114" t="s">
        <v>6</v>
      </c>
      <c r="D7" s="110" t="s">
        <v>677</v>
      </c>
      <c r="E7" s="109" t="s">
        <v>14</v>
      </c>
      <c r="F7" s="111" t="s">
        <v>9</v>
      </c>
      <c r="G7" s="112" t="s">
        <v>10</v>
      </c>
      <c r="H7" s="112" t="s">
        <v>541</v>
      </c>
      <c r="I7" s="112" t="s">
        <v>11</v>
      </c>
      <c r="J7" s="112" t="s">
        <v>263</v>
      </c>
      <c r="K7" s="224"/>
      <c r="L7" s="228"/>
      <c r="M7" s="221"/>
      <c r="N7" s="124">
        <v>0</v>
      </c>
      <c r="O7" s="124">
        <v>4</v>
      </c>
      <c r="P7" s="124">
        <v>16.3</v>
      </c>
      <c r="Q7" s="124">
        <v>8.1999999999999993</v>
      </c>
      <c r="R7" s="124">
        <v>5.4</v>
      </c>
      <c r="S7" s="124">
        <v>1.6</v>
      </c>
      <c r="T7" s="124">
        <v>7.4</v>
      </c>
      <c r="U7" s="124">
        <v>5.5</v>
      </c>
      <c r="V7" s="124">
        <v>6.2</v>
      </c>
      <c r="W7" s="124">
        <v>17.5</v>
      </c>
      <c r="X7" s="124">
        <v>0.6</v>
      </c>
      <c r="Y7" s="123">
        <v>-7.2</v>
      </c>
      <c r="Z7" s="432">
        <f>ROUND(46.7/9,1)</f>
        <v>5.2</v>
      </c>
      <c r="AA7" s="432">
        <f t="shared" ref="AA7:AG7" si="0">ROUND(46.7/9,1)</f>
        <v>5.2</v>
      </c>
      <c r="AB7" s="432">
        <f t="shared" si="0"/>
        <v>5.2</v>
      </c>
      <c r="AC7" s="432">
        <f t="shared" si="0"/>
        <v>5.2</v>
      </c>
      <c r="AD7" s="432">
        <f t="shared" si="0"/>
        <v>5.2</v>
      </c>
      <c r="AE7" s="432">
        <f t="shared" si="0"/>
        <v>5.2</v>
      </c>
      <c r="AF7" s="432">
        <f t="shared" si="0"/>
        <v>5.2</v>
      </c>
      <c r="AG7" s="432">
        <f t="shared" si="0"/>
        <v>5.2</v>
      </c>
      <c r="AH7" s="432">
        <f>ROUND(46.7/9,1)-0.1</f>
        <v>5.1000000000000005</v>
      </c>
      <c r="AI7" s="432">
        <f>ROUND(41.8/7,1)</f>
        <v>6</v>
      </c>
      <c r="AJ7" s="432">
        <f t="shared" ref="AJ7:AM7" si="1">ROUND(41.8/7,1)</f>
        <v>6</v>
      </c>
      <c r="AK7" s="432">
        <f t="shared" si="1"/>
        <v>6</v>
      </c>
      <c r="AL7" s="432">
        <f t="shared" si="1"/>
        <v>6</v>
      </c>
      <c r="AM7" s="432">
        <f t="shared" si="1"/>
        <v>6</v>
      </c>
      <c r="AN7" s="432">
        <f>ROUND(41.8/7,1)-0.1</f>
        <v>5.9</v>
      </c>
      <c r="AO7" s="432">
        <f>ROUND(41.8/7,1)-0.1</f>
        <v>5.9</v>
      </c>
      <c r="AP7" s="122">
        <v>6.5</v>
      </c>
      <c r="AQ7" s="432">
        <f>ROUND(22.8/5,1)</f>
        <v>4.5999999999999996</v>
      </c>
      <c r="AR7" s="432">
        <f>ROUND(22.8/5,1)</f>
        <v>4.5999999999999996</v>
      </c>
      <c r="AS7" s="432">
        <f>ROUND(22.8/5,1)</f>
        <v>4.5999999999999996</v>
      </c>
      <c r="AT7" s="432">
        <f>ROUND(22.8/5,1)-0.1</f>
        <v>4.5</v>
      </c>
      <c r="AU7" s="432">
        <f>ROUND(22.8/5,1)-0.1</f>
        <v>4.5</v>
      </c>
      <c r="AV7" s="122">
        <v>4.7</v>
      </c>
      <c r="AW7" s="432">
        <f>ROUND(10.2/3,1)</f>
        <v>3.4</v>
      </c>
      <c r="AX7" s="432">
        <f>ROUND(10.2/3,1)</f>
        <v>3.4</v>
      </c>
      <c r="AY7" s="432">
        <f>ROUND(10.2/3,1)</f>
        <v>3.4</v>
      </c>
      <c r="AZ7" s="432">
        <f>ROUND(6.7/2,1)</f>
        <v>3.4</v>
      </c>
      <c r="BA7" s="432">
        <f>ROUND(6.7/2,1)-0.1</f>
        <v>3.3</v>
      </c>
      <c r="BB7" s="432">
        <f>ROUND(10.9/3,1)</f>
        <v>3.6</v>
      </c>
      <c r="BC7" s="432">
        <f>ROUND(10.9/3,1)</f>
        <v>3.6</v>
      </c>
      <c r="BD7" s="429">
        <f>ROUND(10.9/3,1)+0.1</f>
        <v>3.7</v>
      </c>
      <c r="BE7" s="141" t="s">
        <v>247</v>
      </c>
      <c r="BF7" s="431"/>
      <c r="BG7" s="368"/>
      <c r="BH7" s="333" t="str">
        <f ca="1">INDIRECT(ADDRESS(MATCH($B7,'【別紙1】標高（入力）'!$B:$B,0),'【別紙1】標高（入力）'!$N$2,4,TRUE,"【別紙1】標高（入力）"))</f>
        <v>R5</v>
      </c>
      <c r="BI7" s="340">
        <f ca="1">INDIRECT(ADDRESS(MATCH($B7,'【別紙1】標高（入力）'!$B:$B,0),'【別紙1】標高（入力）'!$O$2,4,TRUE,"【別紙1】標高（入力）"))</f>
        <v>17.549900000000001</v>
      </c>
      <c r="BJ7" s="392"/>
    </row>
    <row r="8" spans="1:62" ht="15.95" customHeight="1">
      <c r="A8" s="119">
        <v>104</v>
      </c>
      <c r="B8" s="107" t="s">
        <v>584</v>
      </c>
      <c r="C8" s="114" t="s">
        <v>6</v>
      </c>
      <c r="D8" s="110" t="s">
        <v>650</v>
      </c>
      <c r="E8" s="109" t="s">
        <v>16</v>
      </c>
      <c r="F8" s="111" t="s">
        <v>9</v>
      </c>
      <c r="G8" s="112" t="s">
        <v>10</v>
      </c>
      <c r="H8" s="112" t="s">
        <v>541</v>
      </c>
      <c r="I8" s="112" t="s">
        <v>11</v>
      </c>
      <c r="J8" s="112" t="s">
        <v>263</v>
      </c>
      <c r="K8" s="224"/>
      <c r="L8" s="228"/>
      <c r="M8" s="221"/>
      <c r="N8" s="124">
        <v>-4.7</v>
      </c>
      <c r="O8" s="124">
        <v>0.9</v>
      </c>
      <c r="P8" s="124">
        <v>9.6</v>
      </c>
      <c r="Q8" s="124">
        <v>4.0999999999999996</v>
      </c>
      <c r="R8" s="124">
        <v>0.3</v>
      </c>
      <c r="S8" s="124">
        <v>-4.0999999999999996</v>
      </c>
      <c r="T8" s="124">
        <v>4</v>
      </c>
      <c r="U8" s="124">
        <v>1.9</v>
      </c>
      <c r="V8" s="124">
        <v>3.9</v>
      </c>
      <c r="W8" s="124">
        <v>16.2</v>
      </c>
      <c r="X8" s="124">
        <v>-2.5</v>
      </c>
      <c r="Y8" s="124">
        <v>-10.1</v>
      </c>
      <c r="Z8" s="124">
        <v>4.5</v>
      </c>
      <c r="AA8" s="124">
        <v>4.5</v>
      </c>
      <c r="AB8" s="124">
        <v>-2.6</v>
      </c>
      <c r="AC8" s="124">
        <v>6.8</v>
      </c>
      <c r="AD8" s="124">
        <v>-2.1</v>
      </c>
      <c r="AE8" s="124">
        <v>-3.7</v>
      </c>
      <c r="AF8" s="124">
        <v>5.0999999999999996</v>
      </c>
      <c r="AG8" s="124">
        <v>5</v>
      </c>
      <c r="AH8" s="123">
        <v>-5.6</v>
      </c>
      <c r="AI8" s="125">
        <v>9.4</v>
      </c>
      <c r="AJ8" s="128">
        <v>-0.7</v>
      </c>
      <c r="AK8" s="128">
        <v>-3.1</v>
      </c>
      <c r="AL8" s="123">
        <v>6.2</v>
      </c>
      <c r="AM8" s="124">
        <v>9.99999999997669E-2</v>
      </c>
      <c r="AN8" s="123">
        <v>-7.6</v>
      </c>
      <c r="AO8" s="125">
        <v>9.1</v>
      </c>
      <c r="AP8" s="125">
        <v>5.3</v>
      </c>
      <c r="AQ8" s="432">
        <f>ROUND(1/3,1)</f>
        <v>0.3</v>
      </c>
      <c r="AR8" s="432">
        <f>ROUND(1/3,1)</f>
        <v>0.3</v>
      </c>
      <c r="AS8" s="432">
        <f>ROUND(1/3,1)+0.1</f>
        <v>0.4</v>
      </c>
      <c r="AT8" s="122">
        <v>2.6</v>
      </c>
      <c r="AU8" s="125">
        <v>-3.8</v>
      </c>
      <c r="AV8" s="125">
        <v>2.1</v>
      </c>
      <c r="AW8" s="432">
        <f>ROUND(2.4/3,1)</f>
        <v>0.8</v>
      </c>
      <c r="AX8" s="432">
        <f>ROUND(2.4/3,1)</f>
        <v>0.8</v>
      </c>
      <c r="AY8" s="432">
        <f>ROUND(2.4/3,1)</f>
        <v>0.8</v>
      </c>
      <c r="AZ8" s="121">
        <v>-1.3</v>
      </c>
      <c r="BA8" s="126">
        <v>0.6</v>
      </c>
      <c r="BB8" s="122"/>
      <c r="BC8" s="122"/>
      <c r="BD8" s="122" t="s">
        <v>247</v>
      </c>
      <c r="BE8" s="142" t="s">
        <v>247</v>
      </c>
      <c r="BF8" s="379"/>
      <c r="BG8" s="368"/>
      <c r="BH8" s="333" t="str">
        <f ca="1">INDIRECT(ADDRESS(MATCH($B8,'【別紙1】標高（入力）'!$B:$B,0),'【別紙1】標高（入力）'!$N$2,4,TRUE,"【別紙1】標高（入力）"))</f>
        <v>H27</v>
      </c>
      <c r="BI8" s="340">
        <f ca="1">INDIRECT(ADDRESS(MATCH($B8,'【別紙1】標高（入力）'!$B:$B,0),'【別紙1】標高（入力）'!$O$2,4,TRUE,"【別紙1】標高（入力）"))</f>
        <v>15.850899999999999</v>
      </c>
      <c r="BJ8" s="392"/>
    </row>
    <row r="9" spans="1:62" ht="15.95" customHeight="1">
      <c r="A9" s="119">
        <v>105</v>
      </c>
      <c r="B9" s="107" t="s">
        <v>585</v>
      </c>
      <c r="C9" s="114" t="s">
        <v>6</v>
      </c>
      <c r="D9" s="110" t="s">
        <v>651</v>
      </c>
      <c r="E9" s="109" t="s">
        <v>18</v>
      </c>
      <c r="F9" s="111" t="s">
        <v>12</v>
      </c>
      <c r="G9" s="112" t="s">
        <v>19</v>
      </c>
      <c r="H9" s="112" t="s">
        <v>541</v>
      </c>
      <c r="I9" s="112" t="s">
        <v>11</v>
      </c>
      <c r="J9" s="112" t="s">
        <v>263</v>
      </c>
      <c r="K9" s="222"/>
      <c r="L9" s="124">
        <v>17.3</v>
      </c>
      <c r="M9" s="124">
        <v>-3.9</v>
      </c>
      <c r="N9" s="124">
        <v>-5.8</v>
      </c>
      <c r="O9" s="124">
        <v>1.3</v>
      </c>
      <c r="P9" s="124">
        <v>7.9</v>
      </c>
      <c r="Q9" s="124">
        <v>2.9</v>
      </c>
      <c r="R9" s="123">
        <v>-0.5</v>
      </c>
      <c r="S9" s="227" t="s">
        <v>20</v>
      </c>
      <c r="T9" s="228"/>
      <c r="U9" s="228"/>
      <c r="V9" s="228"/>
      <c r="W9" s="229"/>
      <c r="X9" s="405" t="s">
        <v>21</v>
      </c>
      <c r="Y9" s="124">
        <v>-11.9</v>
      </c>
      <c r="Z9" s="224"/>
      <c r="AA9" s="221"/>
      <c r="AB9" s="129" t="s">
        <v>260</v>
      </c>
      <c r="AC9" s="124">
        <v>15.1</v>
      </c>
      <c r="AD9" s="124">
        <v>-4</v>
      </c>
      <c r="AE9" s="124">
        <v>-5.3</v>
      </c>
      <c r="AF9" s="124">
        <v>6.7</v>
      </c>
      <c r="AG9" s="124">
        <v>2.9</v>
      </c>
      <c r="AH9" s="123">
        <v>-6.1</v>
      </c>
      <c r="AI9" s="126">
        <v>8.4</v>
      </c>
      <c r="AJ9" s="128">
        <v>-1.2</v>
      </c>
      <c r="AK9" s="128">
        <v>-3.6</v>
      </c>
      <c r="AL9" s="123">
        <v>5.3</v>
      </c>
      <c r="AM9" s="124">
        <v>0.70000000000192097</v>
      </c>
      <c r="AN9" s="123">
        <v>-7.4</v>
      </c>
      <c r="AO9" s="125">
        <v>7.9</v>
      </c>
      <c r="AP9" s="125">
        <v>1.4</v>
      </c>
      <c r="AQ9" s="432">
        <f>ROUND(2.2/3,1)</f>
        <v>0.7</v>
      </c>
      <c r="AR9" s="432">
        <f>ROUND(2.2/3,1)</f>
        <v>0.7</v>
      </c>
      <c r="AS9" s="432">
        <f>ROUND(2.2/3,1)+0.1</f>
        <v>0.79999999999999993</v>
      </c>
      <c r="AT9" s="122">
        <v>1.8</v>
      </c>
      <c r="AU9" s="432">
        <f>ROUND(-3/5,1)</f>
        <v>-0.6</v>
      </c>
      <c r="AV9" s="432">
        <f>ROUND(-3/5,1)</f>
        <v>-0.6</v>
      </c>
      <c r="AW9" s="432">
        <f>ROUND(-3/5,1)</f>
        <v>-0.6</v>
      </c>
      <c r="AX9" s="432">
        <f>ROUND(-3/5,1)</f>
        <v>-0.6</v>
      </c>
      <c r="AY9" s="432">
        <f>ROUND(-3/5,1)</f>
        <v>-0.6</v>
      </c>
      <c r="AZ9" s="121">
        <v>-0.7</v>
      </c>
      <c r="BA9" s="126">
        <v>0</v>
      </c>
      <c r="BB9" s="125">
        <v>-0.4</v>
      </c>
      <c r="BC9" s="432">
        <f>ROUND(-0.2/2,1)</f>
        <v>-0.1</v>
      </c>
      <c r="BD9" s="429">
        <f>ROUND(-0.2/2,1)</f>
        <v>-0.1</v>
      </c>
      <c r="BE9" s="141">
        <v>2.6000000000010459</v>
      </c>
      <c r="BF9" s="431"/>
      <c r="BG9" s="368"/>
      <c r="BH9" s="333" t="str">
        <f ca="1">INDIRECT(ADDRESS(MATCH($B9,'【別紙1】標高（入力）'!$B:$B,0),'【別紙1】標高（入力）'!$N$2,4,TRUE,"【別紙1】標高（入力）"))</f>
        <v>R2</v>
      </c>
      <c r="BI9" s="340">
        <f ca="1">INDIRECT(ADDRESS(MATCH($B9,'【別紙1】標高（入力）'!$B:$B,0),'【別紙1】標高（入力）'!$O$2,4,TRUE,"【別紙1】標高（入力）"))</f>
        <v>17.899899999999999</v>
      </c>
      <c r="BJ9" s="392"/>
    </row>
    <row r="10" spans="1:62" ht="14.25" customHeight="1">
      <c r="A10" s="119">
        <v>106</v>
      </c>
      <c r="B10" s="107" t="s">
        <v>411</v>
      </c>
      <c r="C10" s="114" t="s">
        <v>6</v>
      </c>
      <c r="D10" s="110" t="s">
        <v>664</v>
      </c>
      <c r="E10" s="109" t="s">
        <v>24</v>
      </c>
      <c r="F10" s="111" t="s">
        <v>12</v>
      </c>
      <c r="G10" s="112" t="s">
        <v>19</v>
      </c>
      <c r="H10" s="112" t="s">
        <v>541</v>
      </c>
      <c r="I10" s="112" t="s">
        <v>11</v>
      </c>
      <c r="J10" s="112" t="s">
        <v>263</v>
      </c>
      <c r="K10" s="222"/>
      <c r="L10" s="124">
        <v>16.7</v>
      </c>
      <c r="M10" s="124">
        <v>-4.7</v>
      </c>
      <c r="N10" s="123">
        <v>-5.7</v>
      </c>
      <c r="O10" s="432">
        <f>ROUND(9.8/2,1)</f>
        <v>4.9000000000000004</v>
      </c>
      <c r="P10" s="432">
        <f>ROUND(9.8/2,1)</f>
        <v>4.9000000000000004</v>
      </c>
      <c r="Q10" s="127">
        <v>3.5</v>
      </c>
      <c r="R10" s="124">
        <v>-1.6</v>
      </c>
      <c r="S10" s="124">
        <v>-3.4</v>
      </c>
      <c r="T10" s="124">
        <v>4.5999999999999996</v>
      </c>
      <c r="U10" s="124">
        <v>0.8</v>
      </c>
      <c r="V10" s="124">
        <v>3.5</v>
      </c>
      <c r="W10" s="124">
        <v>13</v>
      </c>
      <c r="X10" s="124">
        <v>-1.2</v>
      </c>
      <c r="Y10" s="406">
        <v>-12.7</v>
      </c>
      <c r="Z10" s="406">
        <v>5.0999999999999996</v>
      </c>
      <c r="AA10" s="406">
        <v>5.0999999999999996</v>
      </c>
      <c r="AB10" s="406">
        <v>-3.7</v>
      </c>
      <c r="AC10" s="406">
        <v>7</v>
      </c>
      <c r="AD10" s="406">
        <v>-3.4</v>
      </c>
      <c r="AE10" s="406">
        <v>-6.1</v>
      </c>
      <c r="AF10" s="406">
        <v>6.2</v>
      </c>
      <c r="AG10" s="406">
        <v>4.3</v>
      </c>
      <c r="AH10" s="420">
        <v>-6.5</v>
      </c>
      <c r="AI10" s="125">
        <v>8.3000000000000007</v>
      </c>
      <c r="AJ10" s="128">
        <v>-1.4</v>
      </c>
      <c r="AK10" s="128">
        <v>-3.9</v>
      </c>
      <c r="AL10" s="123">
        <v>4.4000000000000004</v>
      </c>
      <c r="AM10" s="124">
        <v>0.70000000000192097</v>
      </c>
      <c r="AN10" s="123">
        <v>-7</v>
      </c>
      <c r="AO10" s="125">
        <v>8.6999999999999993</v>
      </c>
      <c r="AP10" s="125">
        <v>5.7</v>
      </c>
      <c r="AQ10" s="432">
        <f>ROUND(0.7/4,1)</f>
        <v>0.2</v>
      </c>
      <c r="AR10" s="432">
        <f>ROUND(0.7/4,1)</f>
        <v>0.2</v>
      </c>
      <c r="AS10" s="432">
        <f>ROUND(0.7/4,1)</f>
        <v>0.2</v>
      </c>
      <c r="AT10" s="432">
        <f>ROUND(0.7/4,1)-0.1</f>
        <v>0.1</v>
      </c>
      <c r="AU10" s="432">
        <f>ROUND(-3.9/5,1)</f>
        <v>-0.8</v>
      </c>
      <c r="AV10" s="432">
        <f>ROUND(-3.9/5,1)</f>
        <v>-0.8</v>
      </c>
      <c r="AW10" s="432">
        <f>ROUND(-3.9/5,1)</f>
        <v>-0.8</v>
      </c>
      <c r="AX10" s="432">
        <f>ROUND(-3.9/5,1)</f>
        <v>-0.8</v>
      </c>
      <c r="AY10" s="432">
        <f>ROUND(-3.9/5,1)+0.1</f>
        <v>-0.70000000000000007</v>
      </c>
      <c r="AZ10" s="121">
        <v>-1.1000000000000001</v>
      </c>
      <c r="BA10" s="126">
        <v>0.1</v>
      </c>
      <c r="BB10" s="125">
        <v>-0.9</v>
      </c>
      <c r="BC10" s="432">
        <f>ROUND(-0.5/2,1)</f>
        <v>-0.3</v>
      </c>
      <c r="BD10" s="429">
        <f>ROUND(-0.5/2,1)+0.1</f>
        <v>-0.19999999999999998</v>
      </c>
      <c r="BE10" s="141">
        <v>3.9000000000015689</v>
      </c>
      <c r="BF10" s="431"/>
      <c r="BG10" s="368"/>
      <c r="BH10" s="333" t="str">
        <f ca="1">INDIRECT(ADDRESS(MATCH($B10,'【別紙1】標高（入力）'!$B:$B,0),'【別紙1】標高（入力）'!$N$2,4,TRUE,"【別紙1】標高（入力）"))</f>
        <v>R5</v>
      </c>
      <c r="BI10" s="340">
        <f ca="1">INDIRECT(ADDRESS(MATCH($B10,'【別紙1】標高（入力）'!$B:$B,0),'【別紙1】標高（入力）'!$O$2,4,TRUE,"【別紙1】標高（入力）"))</f>
        <v>18.3842</v>
      </c>
      <c r="BJ10" s="392"/>
    </row>
    <row r="11" spans="1:62" ht="15.95" customHeight="1">
      <c r="A11" s="119">
        <v>107</v>
      </c>
      <c r="B11" s="107" t="s">
        <v>412</v>
      </c>
      <c r="C11" s="114" t="s">
        <v>6</v>
      </c>
      <c r="D11" s="110" t="s">
        <v>557</v>
      </c>
      <c r="E11" s="109" t="s">
        <v>26</v>
      </c>
      <c r="F11" s="111" t="s">
        <v>12</v>
      </c>
      <c r="G11" s="112" t="s">
        <v>19</v>
      </c>
      <c r="H11" s="112" t="s">
        <v>541</v>
      </c>
      <c r="I11" s="112" t="s">
        <v>11</v>
      </c>
      <c r="J11" s="112" t="s">
        <v>263</v>
      </c>
      <c r="K11" s="222"/>
      <c r="L11" s="124">
        <v>12.4</v>
      </c>
      <c r="M11" s="124">
        <v>-2.9</v>
      </c>
      <c r="N11" s="123">
        <v>-3.7</v>
      </c>
      <c r="O11" s="432">
        <f>ROUND(8.7/2,1)</f>
        <v>4.4000000000000004</v>
      </c>
      <c r="P11" s="432">
        <f>ROUND(8.7/2,1)-0.1</f>
        <v>4.3000000000000007</v>
      </c>
      <c r="Q11" s="127">
        <v>-0.7</v>
      </c>
      <c r="R11" s="124">
        <v>4</v>
      </c>
      <c r="S11" s="406">
        <v>-4.0999999999999996</v>
      </c>
      <c r="T11" s="406">
        <v>2.6</v>
      </c>
      <c r="U11" s="406">
        <v>0.7</v>
      </c>
      <c r="V11" s="406">
        <v>1.7</v>
      </c>
      <c r="W11" s="406">
        <v>9.5</v>
      </c>
      <c r="X11" s="123">
        <v>-1.4</v>
      </c>
      <c r="Y11" s="432">
        <f>ROUND(-3.1/4,1)</f>
        <v>-0.8</v>
      </c>
      <c r="Z11" s="432">
        <f>ROUND(-3.1/4,1)</f>
        <v>-0.8</v>
      </c>
      <c r="AA11" s="432">
        <f>ROUND(-3.1/4,1)</f>
        <v>-0.8</v>
      </c>
      <c r="AB11" s="432">
        <f>ROUND(-3.1/4,1)+0.1</f>
        <v>-0.70000000000000007</v>
      </c>
      <c r="AC11" s="432">
        <f>ROUND(2.7/3,1)</f>
        <v>0.9</v>
      </c>
      <c r="AD11" s="432">
        <f>ROUND(2.7/3,1)</f>
        <v>0.9</v>
      </c>
      <c r="AE11" s="432">
        <f>ROUND(2.7/3,1)</f>
        <v>0.9</v>
      </c>
      <c r="AF11" s="432">
        <f>ROUND(1.4/3,1)</f>
        <v>0.5</v>
      </c>
      <c r="AG11" s="432">
        <f>ROUND(1.4/3,1)</f>
        <v>0.5</v>
      </c>
      <c r="AH11" s="432">
        <f>ROUND(1.4/3,1)-0.1</f>
        <v>0.4</v>
      </c>
      <c r="AI11" s="432">
        <f>ROUND(11.8/8,1)</f>
        <v>1.5</v>
      </c>
      <c r="AJ11" s="432">
        <f t="shared" ref="AJ11:AN11" si="2">ROUND(11.8/8,1)</f>
        <v>1.5</v>
      </c>
      <c r="AK11" s="432">
        <f t="shared" si="2"/>
        <v>1.5</v>
      </c>
      <c r="AL11" s="432">
        <f t="shared" si="2"/>
        <v>1.5</v>
      </c>
      <c r="AM11" s="432">
        <f t="shared" si="2"/>
        <v>1.5</v>
      </c>
      <c r="AN11" s="432">
        <f t="shared" si="2"/>
        <v>1.5</v>
      </c>
      <c r="AO11" s="432">
        <f>ROUND(11.8/8,1)-0.1</f>
        <v>1.4</v>
      </c>
      <c r="AP11" s="432">
        <f>ROUND(11.8/8,1)-0.1</f>
        <v>1.4</v>
      </c>
      <c r="AQ11" s="432">
        <f>ROUND(2.8/4,1)</f>
        <v>0.7</v>
      </c>
      <c r="AR11" s="432">
        <f>ROUND(2.8/4,1)</f>
        <v>0.7</v>
      </c>
      <c r="AS11" s="432">
        <f>ROUND(2.8/4,1)</f>
        <v>0.7</v>
      </c>
      <c r="AT11" s="432">
        <f>ROUND(2.8/4,1)</f>
        <v>0.7</v>
      </c>
      <c r="AU11" s="122">
        <v>-4.5999999999999996</v>
      </c>
      <c r="AV11" s="125">
        <v>2.4</v>
      </c>
      <c r="AW11" s="432">
        <f>ROUND(0.6/3,1)</f>
        <v>0.2</v>
      </c>
      <c r="AX11" s="432">
        <f>ROUND(0.6/3,1)</f>
        <v>0.2</v>
      </c>
      <c r="AY11" s="432">
        <f>ROUND(0.6/3,1)</f>
        <v>0.2</v>
      </c>
      <c r="AZ11" s="121">
        <v>-1.1000000000000001</v>
      </c>
      <c r="BA11" s="126">
        <v>1.1000000000000001</v>
      </c>
      <c r="BB11" s="125">
        <v>-0.9</v>
      </c>
      <c r="BC11" s="432">
        <f>ROUND(-0.1/2,1)</f>
        <v>-0.1</v>
      </c>
      <c r="BD11" s="429">
        <f>ROUND(-0.1/2,1)+0.1</f>
        <v>0</v>
      </c>
      <c r="BE11" s="141">
        <v>1.5000000000000568</v>
      </c>
      <c r="BF11" s="431"/>
      <c r="BG11" s="368"/>
      <c r="BH11" s="333" t="e">
        <f ca="1">INDIRECT(ADDRESS(MATCH($B11,'【別紙1】標高（入力）'!$B:$B,0),'【別紙1】標高（入力）'!$N$2,4,TRUE,"【別紙1】標高（入力）"))</f>
        <v>#N/A</v>
      </c>
      <c r="BI11" s="340" t="e">
        <f ca="1">INDIRECT(ADDRESS(MATCH($B11,'【別紙1】標高（入力）'!$B:$B,0),'【別紙1】標高（入力）'!$O$2,4,TRUE,"【別紙1】標高（入力）"))</f>
        <v>#N/A</v>
      </c>
      <c r="BJ11" s="392"/>
    </row>
    <row r="12" spans="1:62" ht="15.95" customHeight="1">
      <c r="A12" s="119">
        <v>108</v>
      </c>
      <c r="B12" s="107" t="s">
        <v>413</v>
      </c>
      <c r="C12" s="114" t="s">
        <v>6</v>
      </c>
      <c r="D12" s="110" t="s">
        <v>708</v>
      </c>
      <c r="E12" s="109" t="s">
        <v>1202</v>
      </c>
      <c r="F12" s="111" t="s">
        <v>9</v>
      </c>
      <c r="G12" s="112" t="s">
        <v>10</v>
      </c>
      <c r="H12" s="112" t="s">
        <v>541</v>
      </c>
      <c r="I12" s="112" t="s">
        <v>11</v>
      </c>
      <c r="J12" s="112" t="s">
        <v>263</v>
      </c>
      <c r="K12" s="224"/>
      <c r="L12" s="228"/>
      <c r="M12" s="228"/>
      <c r="N12" s="432">
        <f>ROUND(6.1/3,1)</f>
        <v>2</v>
      </c>
      <c r="O12" s="432">
        <f>ROUND(6.1/3,1)</f>
        <v>2</v>
      </c>
      <c r="P12" s="432">
        <f>ROUND(6.1/3,1)+0.1</f>
        <v>2.1</v>
      </c>
      <c r="Q12" s="127">
        <v>3.2</v>
      </c>
      <c r="R12" s="123">
        <v>0.4</v>
      </c>
      <c r="S12" s="432">
        <f>ROUND(1.2/2,1)</f>
        <v>0.6</v>
      </c>
      <c r="T12" s="432">
        <f>ROUND(1.2/2,1)</f>
        <v>0.6</v>
      </c>
      <c r="U12" s="432">
        <f>ROUND(14.5/4,1)</f>
        <v>3.6</v>
      </c>
      <c r="V12" s="432">
        <f>ROUND(14.5/4,1)</f>
        <v>3.6</v>
      </c>
      <c r="W12" s="432">
        <f>ROUND(14.5/4,1)</f>
        <v>3.6</v>
      </c>
      <c r="X12" s="432">
        <f>ROUND(14.5/4,1)+0.1</f>
        <v>3.7</v>
      </c>
      <c r="Y12" s="432">
        <f>ROUND(7.6/4,1)</f>
        <v>1.9</v>
      </c>
      <c r="Z12" s="432">
        <f>ROUND(7.6/4,1)</f>
        <v>1.9</v>
      </c>
      <c r="AA12" s="432">
        <f>ROUND(7.6/4,1)</f>
        <v>1.9</v>
      </c>
      <c r="AB12" s="432">
        <f>ROUND(7.6/4,1)</f>
        <v>1.9</v>
      </c>
      <c r="AC12" s="432">
        <f>ROUND(-4.4/3,1)</f>
        <v>-1.5</v>
      </c>
      <c r="AD12" s="432">
        <f>ROUND(-4.4/3,1)</f>
        <v>-1.5</v>
      </c>
      <c r="AE12" s="432">
        <f>ROUND(-4.4/3,1)+0.1</f>
        <v>-1.4</v>
      </c>
      <c r="AF12" s="432">
        <f>ROUND(0.8/3,1)</f>
        <v>0.3</v>
      </c>
      <c r="AG12" s="432">
        <f>ROUND(0.8/3,1)</f>
        <v>0.3</v>
      </c>
      <c r="AH12" s="432">
        <f>ROUND(0.8/3,1)-0.1</f>
        <v>0.19999999999999998</v>
      </c>
      <c r="AI12" s="432">
        <f>ROUND(20.7/8,1)</f>
        <v>2.6</v>
      </c>
      <c r="AJ12" s="432">
        <f t="shared" ref="AJ12:AO12" si="3">ROUND(20.7/8,1)</f>
        <v>2.6</v>
      </c>
      <c r="AK12" s="432">
        <f t="shared" si="3"/>
        <v>2.6</v>
      </c>
      <c r="AL12" s="432">
        <f t="shared" si="3"/>
        <v>2.6</v>
      </c>
      <c r="AM12" s="432">
        <f t="shared" si="3"/>
        <v>2.6</v>
      </c>
      <c r="AN12" s="432">
        <f t="shared" si="3"/>
        <v>2.6</v>
      </c>
      <c r="AO12" s="432">
        <f t="shared" si="3"/>
        <v>2.6</v>
      </c>
      <c r="AP12" s="432">
        <f>ROUND(20.7/8,1)-0.1</f>
        <v>2.5</v>
      </c>
      <c r="AQ12" s="432">
        <f>ROUND(1.6/4,1)</f>
        <v>0.4</v>
      </c>
      <c r="AR12" s="432">
        <f>ROUND(1.6/4,1)</f>
        <v>0.4</v>
      </c>
      <c r="AS12" s="432">
        <f>ROUND(1.6/4,1)</f>
        <v>0.4</v>
      </c>
      <c r="AT12" s="432">
        <f>ROUND(1.6/4,1)</f>
        <v>0.4</v>
      </c>
      <c r="AU12" s="122">
        <v>-3.7</v>
      </c>
      <c r="AV12" s="125">
        <v>1.4</v>
      </c>
      <c r="AW12" s="432">
        <f>ROUND(2.1/3,1)</f>
        <v>0.7</v>
      </c>
      <c r="AX12" s="432">
        <f>ROUND(2.1/3,1)</f>
        <v>0.7</v>
      </c>
      <c r="AY12" s="432">
        <f>ROUND(2.1/3,1)</f>
        <v>0.7</v>
      </c>
      <c r="AZ12" s="432">
        <f>ROUND(-1.5/2,1)</f>
        <v>-0.8</v>
      </c>
      <c r="BA12" s="432">
        <f>ROUND(-1.5/2,1)+0.1</f>
        <v>-0.70000000000000007</v>
      </c>
      <c r="BB12" s="125">
        <v>1.6</v>
      </c>
      <c r="BC12" s="432">
        <f>ROUND(-1.3/2,1)</f>
        <v>-0.7</v>
      </c>
      <c r="BD12" s="429">
        <f>ROUND(-1.3/2,1)+0.1</f>
        <v>-0.6</v>
      </c>
      <c r="BE12" s="141" t="s">
        <v>247</v>
      </c>
      <c r="BF12" s="431"/>
      <c r="BG12" s="368"/>
      <c r="BH12" s="333" t="str">
        <f ca="1">INDIRECT(ADDRESS(MATCH($B12,'【別紙1】標高（入力）'!$B:$B,0),'【別紙1】標高（入力）'!$N$2,4,TRUE,"【別紙1】標高（入力）"))</f>
        <v>R3</v>
      </c>
      <c r="BI12" s="340">
        <f ca="1">INDIRECT(ADDRESS(MATCH($B12,'【別紙1】標高（入力）'!$B:$B,0),'【別紙1】標高（入力）'!$O$2,4,TRUE,"【別紙1】標高（入力）"))</f>
        <v>25.169</v>
      </c>
      <c r="BJ12" s="392"/>
    </row>
    <row r="13" spans="1:62" ht="15.95" customHeight="1">
      <c r="A13" s="119">
        <v>109</v>
      </c>
      <c r="B13" s="107" t="s">
        <v>415</v>
      </c>
      <c r="C13" s="114" t="s">
        <v>6</v>
      </c>
      <c r="D13" s="110" t="s">
        <v>29</v>
      </c>
      <c r="E13" s="109" t="s">
        <v>30</v>
      </c>
      <c r="F13" s="111" t="s">
        <v>9</v>
      </c>
      <c r="G13" s="112" t="s">
        <v>31</v>
      </c>
      <c r="H13" s="112" t="s">
        <v>541</v>
      </c>
      <c r="I13" s="112" t="s">
        <v>11</v>
      </c>
      <c r="J13" s="112" t="s">
        <v>263</v>
      </c>
      <c r="K13" s="224"/>
      <c r="L13" s="228"/>
      <c r="M13" s="228"/>
      <c r="N13" s="228"/>
      <c r="O13" s="228"/>
      <c r="P13" s="221"/>
      <c r="Q13" s="124">
        <v>-0.1</v>
      </c>
      <c r="R13" s="123">
        <v>-0.2</v>
      </c>
      <c r="S13" s="432">
        <f>ROUND(1.5/2,1)</f>
        <v>0.8</v>
      </c>
      <c r="T13" s="432">
        <f>ROUND(1.5/2,1)-0.1</f>
        <v>0.70000000000000007</v>
      </c>
      <c r="U13" s="432">
        <f>ROUND(14.8/8,1)</f>
        <v>1.9</v>
      </c>
      <c r="V13" s="432">
        <f t="shared" ref="V13:X13" si="4">ROUND(14.8/8,1)</f>
        <v>1.9</v>
      </c>
      <c r="W13" s="432">
        <f t="shared" si="4"/>
        <v>1.9</v>
      </c>
      <c r="X13" s="432">
        <f t="shared" si="4"/>
        <v>1.9</v>
      </c>
      <c r="Y13" s="432">
        <f>ROUND(14.8/8,1)-0.1</f>
        <v>1.7999999999999998</v>
      </c>
      <c r="Z13" s="432">
        <f>ROUND(14.8/8,1)-0.1</f>
        <v>1.7999999999999998</v>
      </c>
      <c r="AA13" s="432">
        <f>ROUND(14.8/8,1)-0.1</f>
        <v>1.7999999999999998</v>
      </c>
      <c r="AB13" s="432">
        <f>ROUND(14.8/8,1)-0.1</f>
        <v>1.7999999999999998</v>
      </c>
      <c r="AC13" s="432">
        <f>ROUND(-9.1/3,1)</f>
        <v>-3</v>
      </c>
      <c r="AD13" s="432">
        <f>ROUND(-9.1/3,1)</f>
        <v>-3</v>
      </c>
      <c r="AE13" s="432">
        <f>ROUND(-9.1/3,1)-0.1</f>
        <v>-3.1</v>
      </c>
      <c r="AF13" s="432">
        <f>ROUND(-0.8/3,1)</f>
        <v>-0.3</v>
      </c>
      <c r="AG13" s="432">
        <f>ROUND(-0.8/3,1)</f>
        <v>-0.3</v>
      </c>
      <c r="AH13" s="432">
        <f>ROUND(-0.8/3,1)+0.1</f>
        <v>-0.19999999999999998</v>
      </c>
      <c r="AI13" s="432">
        <f>ROUND(13.4/8,1)</f>
        <v>1.7</v>
      </c>
      <c r="AJ13" s="432">
        <f t="shared" ref="AJ13:AN13" si="5">ROUND(13.4/8,1)</f>
        <v>1.7</v>
      </c>
      <c r="AK13" s="432">
        <f t="shared" si="5"/>
        <v>1.7</v>
      </c>
      <c r="AL13" s="432">
        <f t="shared" si="5"/>
        <v>1.7</v>
      </c>
      <c r="AM13" s="432">
        <f t="shared" si="5"/>
        <v>1.7</v>
      </c>
      <c r="AN13" s="432">
        <f t="shared" si="5"/>
        <v>1.7</v>
      </c>
      <c r="AO13" s="432">
        <f>ROUND(13.4/8,1)-0.1</f>
        <v>1.5999999999999999</v>
      </c>
      <c r="AP13" s="432">
        <f>ROUND(13.4/8,1)-0.1</f>
        <v>1.5999999999999999</v>
      </c>
      <c r="AQ13" s="432">
        <f t="shared" ref="AQ13:AV13" si="6">ROUND(-3/6,1)</f>
        <v>-0.5</v>
      </c>
      <c r="AR13" s="432">
        <f t="shared" si="6"/>
        <v>-0.5</v>
      </c>
      <c r="AS13" s="432">
        <f t="shared" si="6"/>
        <v>-0.5</v>
      </c>
      <c r="AT13" s="432">
        <f t="shared" si="6"/>
        <v>-0.5</v>
      </c>
      <c r="AU13" s="432">
        <f t="shared" si="6"/>
        <v>-0.5</v>
      </c>
      <c r="AV13" s="432">
        <f t="shared" si="6"/>
        <v>-0.5</v>
      </c>
      <c r="AW13" s="432">
        <f>ROUND(2.3/6,1)</f>
        <v>0.4</v>
      </c>
      <c r="AX13" s="432">
        <f>ROUND(2.3/6,1)</f>
        <v>0.4</v>
      </c>
      <c r="AY13" s="432">
        <f>ROUND(2.3/6,1)</f>
        <v>0.4</v>
      </c>
      <c r="AZ13" s="432">
        <f>ROUND(2.3/6,1)</f>
        <v>0.4</v>
      </c>
      <c r="BA13" s="432">
        <f>ROUND(2.3/6,1)</f>
        <v>0.4</v>
      </c>
      <c r="BB13" s="432">
        <f>ROUND(2.3/6,1)-0.1</f>
        <v>0.30000000000000004</v>
      </c>
      <c r="BC13" s="122"/>
      <c r="BD13" s="122" t="s">
        <v>247</v>
      </c>
      <c r="BE13" s="142" t="s">
        <v>247</v>
      </c>
      <c r="BF13" s="379"/>
      <c r="BG13" s="368"/>
      <c r="BH13" s="333" t="str">
        <f ca="1">INDIRECT(ADDRESS(MATCH($B13,'【別紙1】標高（入力）'!$B:$B,0),'【別紙1】標高（入力）'!$N$2,4,TRUE,"【別紙1】標高（入力）"))</f>
        <v>R4</v>
      </c>
      <c r="BI13" s="340">
        <f ca="1">INDIRECT(ADDRESS(MATCH($B13,'【別紙1】標高（入力）'!$B:$B,0),'【別紙1】標高（入力）'!$O$2,4,TRUE,"【別紙1】標高（入力）"))</f>
        <v>31.895900000000001</v>
      </c>
      <c r="BJ13" s="392"/>
    </row>
    <row r="14" spans="1:62" ht="15.95" customHeight="1">
      <c r="A14" s="119">
        <v>110</v>
      </c>
      <c r="B14" s="107" t="s">
        <v>416</v>
      </c>
      <c r="C14" s="114" t="s">
        <v>6</v>
      </c>
      <c r="D14" s="110" t="s">
        <v>563</v>
      </c>
      <c r="E14" s="109" t="s">
        <v>33</v>
      </c>
      <c r="F14" s="111" t="s">
        <v>12</v>
      </c>
      <c r="G14" s="112" t="s">
        <v>19</v>
      </c>
      <c r="H14" s="112" t="s">
        <v>541</v>
      </c>
      <c r="I14" s="112" t="s">
        <v>11</v>
      </c>
      <c r="J14" s="112" t="s">
        <v>263</v>
      </c>
      <c r="K14" s="222"/>
      <c r="L14" s="124">
        <v>26.1</v>
      </c>
      <c r="M14" s="124">
        <v>-4.2</v>
      </c>
      <c r="N14" s="123">
        <v>-6.6</v>
      </c>
      <c r="O14" s="432">
        <f>ROUND(15.7/2,1)</f>
        <v>7.9</v>
      </c>
      <c r="P14" s="432">
        <f>ROUND(15.7/2,1)-0.1</f>
        <v>7.8000000000000007</v>
      </c>
      <c r="Q14" s="127">
        <v>1</v>
      </c>
      <c r="R14" s="124">
        <v>0.8</v>
      </c>
      <c r="S14" s="124">
        <v>-1</v>
      </c>
      <c r="T14" s="124">
        <v>1.9</v>
      </c>
      <c r="U14" s="124">
        <v>1.1000000000000001</v>
      </c>
      <c r="V14" s="124">
        <v>2.7</v>
      </c>
      <c r="W14" s="124">
        <v>11.3</v>
      </c>
      <c r="X14" s="123">
        <v>-0.4</v>
      </c>
      <c r="Y14" s="432">
        <f>ROUND(1.9/4,1)</f>
        <v>0.5</v>
      </c>
      <c r="Z14" s="432">
        <f>ROUND(1.9/4,1)</f>
        <v>0.5</v>
      </c>
      <c r="AA14" s="432">
        <f>ROUND(1.9/4,1)</f>
        <v>0.5</v>
      </c>
      <c r="AB14" s="432">
        <f>ROUND(1.9/4,1)-0.1</f>
        <v>0.4</v>
      </c>
      <c r="AC14" s="432">
        <f>ROUND(3.4/3,1)</f>
        <v>1.1000000000000001</v>
      </c>
      <c r="AD14" s="432">
        <f>ROUND(3.4/3,1)</f>
        <v>1.1000000000000001</v>
      </c>
      <c r="AE14" s="432">
        <f>ROUND(3.4/3,1)+0.1</f>
        <v>1.2000000000000002</v>
      </c>
      <c r="AF14" s="432">
        <f>ROUND(3.7/3,1)</f>
        <v>1.2</v>
      </c>
      <c r="AG14" s="432">
        <f>ROUND(3.7/3,1)</f>
        <v>1.2</v>
      </c>
      <c r="AH14" s="432">
        <f>ROUND(3.7/3,1)+0.1</f>
        <v>1.3</v>
      </c>
      <c r="AI14" s="432">
        <f>ROUND(14.1/8,1)</f>
        <v>1.8</v>
      </c>
      <c r="AJ14" s="432">
        <f t="shared" ref="AJ14:AM14" si="7">ROUND(14.1/8,1)</f>
        <v>1.8</v>
      </c>
      <c r="AK14" s="432">
        <f t="shared" si="7"/>
        <v>1.8</v>
      </c>
      <c r="AL14" s="432">
        <f t="shared" si="7"/>
        <v>1.8</v>
      </c>
      <c r="AM14" s="432">
        <f t="shared" si="7"/>
        <v>1.8</v>
      </c>
      <c r="AN14" s="432">
        <f>ROUND(14.1/8,1)-0.1</f>
        <v>1.7</v>
      </c>
      <c r="AO14" s="432">
        <f>ROUND(14.1/8,1)-0.1</f>
        <v>1.7</v>
      </c>
      <c r="AP14" s="432">
        <f>ROUND(14.1/8,1)-0.1</f>
        <v>1.7</v>
      </c>
      <c r="AQ14" s="228"/>
      <c r="AR14" s="228"/>
      <c r="AS14" s="228"/>
      <c r="AT14" s="139" t="s">
        <v>314</v>
      </c>
      <c r="AU14" s="126">
        <v>-3.9</v>
      </c>
      <c r="AV14" s="125">
        <v>0.9</v>
      </c>
      <c r="AW14" s="432">
        <f>ROUND(3.5/3,1)</f>
        <v>1.2</v>
      </c>
      <c r="AX14" s="432">
        <f>ROUND(3.5/3,1)</f>
        <v>1.2</v>
      </c>
      <c r="AY14" s="432">
        <f>ROUND(3.5/3,1)-0.1</f>
        <v>1.0999999999999999</v>
      </c>
      <c r="AZ14" s="121">
        <v>-0.3</v>
      </c>
      <c r="BA14" s="126">
        <v>2.2999999999999998</v>
      </c>
      <c r="BB14" s="125">
        <v>0.1</v>
      </c>
      <c r="BC14" s="432">
        <f>ROUND(1.1/2,1)</f>
        <v>0.6</v>
      </c>
      <c r="BD14" s="429">
        <f>ROUND(1.1/2,1)-0.1</f>
        <v>0.5</v>
      </c>
      <c r="BE14" s="141">
        <v>3.1999999999996476</v>
      </c>
      <c r="BF14" s="431"/>
      <c r="BG14" s="368"/>
      <c r="BH14" s="333" t="e">
        <f ca="1">INDIRECT(ADDRESS(MATCH($B14,'【別紙1】標高（入力）'!$B:$B,0),'【別紙1】標高（入力）'!$N$2,4,TRUE,"【別紙1】標高（入力）"))</f>
        <v>#N/A</v>
      </c>
      <c r="BI14" s="340" t="e">
        <f ca="1">INDIRECT(ADDRESS(MATCH($B14,'【別紙1】標高（入力）'!$B:$B,0),'【別紙1】標高（入力）'!$O$2,4,TRUE,"【別紙1】標高（入力）"))</f>
        <v>#N/A</v>
      </c>
      <c r="BJ14" s="392" t="s">
        <v>319</v>
      </c>
    </row>
    <row r="15" spans="1:62" ht="15.95" customHeight="1">
      <c r="A15" s="119">
        <v>111</v>
      </c>
      <c r="B15" s="107" t="s">
        <v>417</v>
      </c>
      <c r="C15" s="114" t="s">
        <v>6</v>
      </c>
      <c r="D15" s="110" t="s">
        <v>564</v>
      </c>
      <c r="E15" s="109" t="s">
        <v>35</v>
      </c>
      <c r="F15" s="111" t="s">
        <v>9</v>
      </c>
      <c r="G15" s="112" t="s">
        <v>36</v>
      </c>
      <c r="H15" s="112" t="s">
        <v>541</v>
      </c>
      <c r="I15" s="112" t="s">
        <v>11</v>
      </c>
      <c r="J15" s="112" t="s">
        <v>263</v>
      </c>
      <c r="K15" s="224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1"/>
      <c r="AG15" s="129" t="s">
        <v>37</v>
      </c>
      <c r="AH15" s="136" t="s">
        <v>1278</v>
      </c>
      <c r="AI15" s="432">
        <f>ROUND(28.7/8,1)</f>
        <v>3.6</v>
      </c>
      <c r="AJ15" s="432">
        <f t="shared" ref="AJ15:AO15" si="8">ROUND(28.7/8,1)</f>
        <v>3.6</v>
      </c>
      <c r="AK15" s="432">
        <f t="shared" si="8"/>
        <v>3.6</v>
      </c>
      <c r="AL15" s="432">
        <f t="shared" si="8"/>
        <v>3.6</v>
      </c>
      <c r="AM15" s="432">
        <f t="shared" si="8"/>
        <v>3.6</v>
      </c>
      <c r="AN15" s="432">
        <f t="shared" si="8"/>
        <v>3.6</v>
      </c>
      <c r="AO15" s="432">
        <f t="shared" si="8"/>
        <v>3.6</v>
      </c>
      <c r="AP15" s="432">
        <f>ROUND(28.7/8,1)-0.1</f>
        <v>3.5</v>
      </c>
      <c r="AQ15" s="432">
        <f>ROUND(5.4/4,1)</f>
        <v>1.4</v>
      </c>
      <c r="AR15" s="432">
        <f>ROUND(5.4/4,1)</f>
        <v>1.4</v>
      </c>
      <c r="AS15" s="432">
        <f>ROUND(5.4/4,1)-0.1</f>
        <v>1.2999999999999998</v>
      </c>
      <c r="AT15" s="432">
        <f>ROUND(5.4/4,1)-0.1</f>
        <v>1.2999999999999998</v>
      </c>
      <c r="AU15" s="432">
        <f>ROUND(3.9/5,1)</f>
        <v>0.8</v>
      </c>
      <c r="AV15" s="432">
        <f>ROUND(3.9/5,1)</f>
        <v>0.8</v>
      </c>
      <c r="AW15" s="432">
        <f>ROUND(3.9/5,1)</f>
        <v>0.8</v>
      </c>
      <c r="AX15" s="432">
        <f>ROUND(3.9/5,1)</f>
        <v>0.8</v>
      </c>
      <c r="AY15" s="432">
        <f>ROUND(3.9/5,1)-0.1</f>
        <v>0.70000000000000007</v>
      </c>
      <c r="AZ15" s="121">
        <v>0.2</v>
      </c>
      <c r="BA15" s="125">
        <v>0.9</v>
      </c>
      <c r="BB15" s="432">
        <f>ROUND(2.3/3,1)</f>
        <v>0.8</v>
      </c>
      <c r="BC15" s="432">
        <f>ROUND(2.3/3,1)</f>
        <v>0.8</v>
      </c>
      <c r="BD15" s="429">
        <f>ROUND(2.3/3,1)-0.1</f>
        <v>0.70000000000000007</v>
      </c>
      <c r="BE15" s="141">
        <v>5.3000000000018588</v>
      </c>
      <c r="BF15" s="431"/>
      <c r="BG15" s="368"/>
      <c r="BH15" s="333" t="str">
        <f ca="1">INDIRECT(ADDRESS(MATCH($B15,'【別紙1】標高（入力）'!$B:$B,0),'【別紙1】標高（入力）'!$N$2,4,TRUE,"【別紙1】標高（入力）"))</f>
        <v>R5</v>
      </c>
      <c r="BI15" s="340">
        <f ca="1">INDIRECT(ADDRESS(MATCH($B15,'【別紙1】標高（入力）'!$B:$B,0),'【別紙1】標高（入力）'!$O$2,4,TRUE,"【別紙1】標高（入力）"))</f>
        <v>20.635000000000002</v>
      </c>
      <c r="BJ15" s="392"/>
    </row>
    <row r="16" spans="1:62" s="231" customFormat="1" ht="15.95" customHeight="1">
      <c r="A16" s="214">
        <v>201</v>
      </c>
      <c r="B16" s="215" t="s">
        <v>418</v>
      </c>
      <c r="C16" s="216" t="s">
        <v>38</v>
      </c>
      <c r="D16" s="217" t="s">
        <v>713</v>
      </c>
      <c r="E16" s="218" t="s">
        <v>40</v>
      </c>
      <c r="F16" s="219" t="s">
        <v>9</v>
      </c>
      <c r="G16" s="220" t="s">
        <v>19</v>
      </c>
      <c r="H16" s="220" t="s">
        <v>541</v>
      </c>
      <c r="I16" s="220" t="s">
        <v>11</v>
      </c>
      <c r="J16" s="220" t="s">
        <v>263</v>
      </c>
      <c r="K16" s="222"/>
      <c r="L16" s="124">
        <v>25.6</v>
      </c>
      <c r="M16" s="124">
        <v>1.3</v>
      </c>
      <c r="N16" s="124">
        <v>-3.9</v>
      </c>
      <c r="O16" s="124">
        <v>4.3</v>
      </c>
      <c r="P16" s="124">
        <v>11.6</v>
      </c>
      <c r="Q16" s="124">
        <v>6.5</v>
      </c>
      <c r="R16" s="124">
        <v>1.4</v>
      </c>
      <c r="S16" s="124">
        <v>-1.4</v>
      </c>
      <c r="T16" s="124">
        <v>5.7</v>
      </c>
      <c r="U16" s="124">
        <v>1.7</v>
      </c>
      <c r="V16" s="124">
        <v>3.5</v>
      </c>
      <c r="W16" s="124">
        <v>23</v>
      </c>
      <c r="X16" s="124">
        <v>3.3</v>
      </c>
      <c r="Y16" s="124">
        <v>-8.6999999999999993</v>
      </c>
      <c r="Z16" s="124">
        <v>2.9</v>
      </c>
      <c r="AA16" s="124">
        <v>5.7</v>
      </c>
      <c r="AB16" s="124">
        <v>-3</v>
      </c>
      <c r="AC16" s="124">
        <v>9.1</v>
      </c>
      <c r="AD16" s="124">
        <v>-1.4</v>
      </c>
      <c r="AE16" s="124">
        <v>-3.6</v>
      </c>
      <c r="AF16" s="124">
        <v>6.2</v>
      </c>
      <c r="AG16" s="124">
        <v>4.8</v>
      </c>
      <c r="AH16" s="123">
        <v>-6</v>
      </c>
      <c r="AI16" s="126">
        <v>9.3000000000000007</v>
      </c>
      <c r="AJ16" s="128">
        <v>2.2000000000000002</v>
      </c>
      <c r="AK16" s="128">
        <v>-2.2000000000000002</v>
      </c>
      <c r="AL16" s="123">
        <v>5.3</v>
      </c>
      <c r="AM16" s="124">
        <v>1.50000000000006</v>
      </c>
      <c r="AN16" s="123">
        <v>-7.6</v>
      </c>
      <c r="AO16" s="125">
        <v>8.4</v>
      </c>
      <c r="AP16" s="125">
        <v>5.4</v>
      </c>
      <c r="AQ16" s="432">
        <f>ROUND(2.3/3,1)</f>
        <v>0.8</v>
      </c>
      <c r="AR16" s="432">
        <f>ROUND(2.3/3,1)</f>
        <v>0.8</v>
      </c>
      <c r="AS16" s="432">
        <f>ROUND(2.3/3,1)-0.1</f>
        <v>0.70000000000000007</v>
      </c>
      <c r="AT16" s="122">
        <v>4.2</v>
      </c>
      <c r="AU16" s="125">
        <v>-5.4</v>
      </c>
      <c r="AV16" s="125">
        <v>2.7</v>
      </c>
      <c r="AW16" s="225"/>
      <c r="AX16" s="228"/>
      <c r="AY16" s="228"/>
      <c r="AZ16" s="228"/>
      <c r="BA16" s="228"/>
      <c r="BB16" s="228"/>
      <c r="BC16" s="228"/>
      <c r="BD16" s="228"/>
      <c r="BE16" s="230"/>
      <c r="BF16" s="387"/>
      <c r="BG16" s="386"/>
      <c r="BH16" s="334" t="str">
        <f ca="1">INDIRECT(ADDRESS(MATCH($B16,'【別紙1】標高（入力）'!$B:$B,0),'【別紙1】標高（入力）'!$N$2,4,TRUE,"【別紙1】標高（入力）"))</f>
        <v>H22</v>
      </c>
      <c r="BI16" s="341">
        <f ca="1">INDIRECT(ADDRESS(MATCH($B16,'【別紙1】標高（入力）'!$B:$B,0),'【別紙1】標高（入力）'!$O$2,4,TRUE,"【別紙1】標高（入力）"))</f>
        <v>15.417599999999998</v>
      </c>
      <c r="BJ16" s="393" t="s">
        <v>522</v>
      </c>
    </row>
    <row r="17" spans="1:62" ht="15.95" customHeight="1">
      <c r="A17" s="119">
        <v>202</v>
      </c>
      <c r="B17" s="107" t="s">
        <v>385</v>
      </c>
      <c r="C17" s="114" t="s">
        <v>38</v>
      </c>
      <c r="D17" s="110" t="s">
        <v>714</v>
      </c>
      <c r="E17" s="109" t="s">
        <v>42</v>
      </c>
      <c r="F17" s="111" t="s">
        <v>9</v>
      </c>
      <c r="G17" s="112" t="s">
        <v>31</v>
      </c>
      <c r="H17" s="112" t="s">
        <v>541</v>
      </c>
      <c r="I17" s="112" t="s">
        <v>539</v>
      </c>
      <c r="J17" s="112" t="s">
        <v>264</v>
      </c>
      <c r="K17" s="224"/>
      <c r="L17" s="228"/>
      <c r="M17" s="228"/>
      <c r="N17" s="228"/>
      <c r="O17" s="228"/>
      <c r="P17" s="221"/>
      <c r="Q17" s="124">
        <v>29.5</v>
      </c>
      <c r="R17" s="124">
        <v>13.2</v>
      </c>
      <c r="S17" s="124">
        <v>-23.8</v>
      </c>
      <c r="T17" s="124">
        <v>32.799999999999997</v>
      </c>
      <c r="U17" s="124">
        <v>2.4</v>
      </c>
      <c r="V17" s="124">
        <v>17.2</v>
      </c>
      <c r="W17" s="124">
        <v>36.799999999999997</v>
      </c>
      <c r="X17" s="124">
        <v>6.4</v>
      </c>
      <c r="Y17" s="124">
        <v>4.7</v>
      </c>
      <c r="Z17" s="124">
        <v>-8.8000000000000007</v>
      </c>
      <c r="AA17" s="124">
        <v>9.1999999999999993</v>
      </c>
      <c r="AB17" s="124">
        <v>13.3</v>
      </c>
      <c r="AC17" s="124">
        <v>38.1</v>
      </c>
      <c r="AD17" s="124">
        <v>-9.9</v>
      </c>
      <c r="AE17" s="124">
        <v>-0.3</v>
      </c>
      <c r="AF17" s="124">
        <v>7.5</v>
      </c>
      <c r="AG17" s="124">
        <v>7</v>
      </c>
      <c r="AH17" s="123">
        <v>-6.3</v>
      </c>
      <c r="AI17" s="125">
        <v>5.5</v>
      </c>
      <c r="AJ17" s="411" t="s">
        <v>300</v>
      </c>
      <c r="AK17" s="413" t="s">
        <v>300</v>
      </c>
      <c r="AL17" s="122">
        <v>4.9000000000000004</v>
      </c>
      <c r="AM17" s="124">
        <v>0.40000000000084401</v>
      </c>
      <c r="AN17" s="123">
        <v>-5.9</v>
      </c>
      <c r="AO17" s="125">
        <v>13.7</v>
      </c>
      <c r="AP17" s="432">
        <f>ROUND(9/2,1)</f>
        <v>4.5</v>
      </c>
      <c r="AQ17" s="432">
        <f>ROUND(9/2,1)</f>
        <v>4.5</v>
      </c>
      <c r="AR17" s="125">
        <v>5.3</v>
      </c>
      <c r="AS17" s="125">
        <v>5.4</v>
      </c>
      <c r="AT17" s="125">
        <v>12.1</v>
      </c>
      <c r="AU17" s="125">
        <v>3.5</v>
      </c>
      <c r="AV17" s="125">
        <v>-1.5</v>
      </c>
      <c r="AW17" s="125">
        <v>0.6</v>
      </c>
      <c r="AX17" s="125">
        <v>4.2</v>
      </c>
      <c r="AY17" s="432">
        <f>ROUND(-0.2/3,1)</f>
        <v>-0.1</v>
      </c>
      <c r="AZ17" s="432">
        <f>ROUND(-0.2/3,1)</f>
        <v>-0.1</v>
      </c>
      <c r="BA17" s="432">
        <f>ROUND(-0.2/3,1)+0.1</f>
        <v>0</v>
      </c>
      <c r="BB17" s="121">
        <v>-1.8</v>
      </c>
      <c r="BC17" s="122">
        <v>2</v>
      </c>
      <c r="BD17" s="125" t="s">
        <v>247</v>
      </c>
      <c r="BE17" s="142" t="s">
        <v>247</v>
      </c>
      <c r="BF17" s="379"/>
      <c r="BG17" s="368"/>
      <c r="BH17" s="333" t="str">
        <f ca="1">INDIRECT(ADDRESS(MATCH($B17,'【別紙1】標高（入力）'!$B:$B,0),'【別紙1】標高（入力）'!$N$2,4,TRUE,"【別紙1】標高（入力）"))</f>
        <v>R3</v>
      </c>
      <c r="BI17" s="342">
        <f ca="1">INDIRECT(ADDRESS(MATCH($B17,'【別紙1】標高（入力）'!$B:$B,0),'【別紙1】標高（入力）'!$O$2,4,TRUE,"【別紙1】標高（入力）"))</f>
        <v>11.479699999999999</v>
      </c>
      <c r="BJ17" s="392"/>
    </row>
    <row r="18" spans="1:62" ht="15.95" customHeight="1">
      <c r="A18" s="119">
        <v>203</v>
      </c>
      <c r="B18" s="107" t="s">
        <v>383</v>
      </c>
      <c r="C18" s="114" t="s">
        <v>38</v>
      </c>
      <c r="D18" s="110" t="s">
        <v>565</v>
      </c>
      <c r="E18" s="109" t="s">
        <v>44</v>
      </c>
      <c r="F18" s="111" t="s">
        <v>9</v>
      </c>
      <c r="G18" s="112" t="s">
        <v>19</v>
      </c>
      <c r="H18" s="112" t="s">
        <v>541</v>
      </c>
      <c r="I18" s="112" t="s">
        <v>539</v>
      </c>
      <c r="J18" s="112" t="s">
        <v>264</v>
      </c>
      <c r="K18" s="222"/>
      <c r="L18" s="124">
        <v>34.299999999999997</v>
      </c>
      <c r="M18" s="124">
        <v>3.6</v>
      </c>
      <c r="N18" s="124">
        <v>-5</v>
      </c>
      <c r="O18" s="124">
        <v>6.1</v>
      </c>
      <c r="P18" s="124">
        <v>8.4</v>
      </c>
      <c r="Q18" s="124">
        <v>7.4</v>
      </c>
      <c r="R18" s="124">
        <v>8.4</v>
      </c>
      <c r="S18" s="124">
        <v>-6.2</v>
      </c>
      <c r="T18" s="124">
        <v>4.0999999999999996</v>
      </c>
      <c r="U18" s="124">
        <v>2.5</v>
      </c>
      <c r="V18" s="124">
        <v>9</v>
      </c>
      <c r="W18" s="124">
        <v>26.4</v>
      </c>
      <c r="X18" s="124">
        <v>-0.3</v>
      </c>
      <c r="Y18" s="124">
        <v>-9.5</v>
      </c>
      <c r="Z18" s="124">
        <v>0.5</v>
      </c>
      <c r="AA18" s="124">
        <v>4.0999999999999996</v>
      </c>
      <c r="AB18" s="124">
        <v>-2.1</v>
      </c>
      <c r="AC18" s="124">
        <v>10.199999999999999</v>
      </c>
      <c r="AD18" s="124">
        <v>-3.1</v>
      </c>
      <c r="AE18" s="124">
        <v>-2.5</v>
      </c>
      <c r="AF18" s="124">
        <v>4.5</v>
      </c>
      <c r="AG18" s="124">
        <v>5</v>
      </c>
      <c r="AH18" s="123">
        <v>-5.5</v>
      </c>
      <c r="AI18" s="126">
        <v>8.5</v>
      </c>
      <c r="AJ18" s="128">
        <v>7.2</v>
      </c>
      <c r="AK18" s="128">
        <v>-2.5</v>
      </c>
      <c r="AL18" s="123">
        <v>1.2</v>
      </c>
      <c r="AM18" s="124">
        <v>1.99999999999889</v>
      </c>
      <c r="AN18" s="123">
        <v>-8</v>
      </c>
      <c r="AO18" s="125">
        <v>7.3</v>
      </c>
      <c r="AP18" s="126">
        <v>5.9</v>
      </c>
      <c r="AQ18" s="122">
        <v>-0.4</v>
      </c>
      <c r="AR18" s="125">
        <v>1.2</v>
      </c>
      <c r="AS18" s="125">
        <v>3.2</v>
      </c>
      <c r="AT18" s="125">
        <v>0.3</v>
      </c>
      <c r="AU18" s="125">
        <v>-3.9</v>
      </c>
      <c r="AV18" s="125">
        <v>-0.1</v>
      </c>
      <c r="AW18" s="125">
        <v>0.7</v>
      </c>
      <c r="AX18" s="125">
        <v>3.6</v>
      </c>
      <c r="AY18" s="125">
        <v>-3.2</v>
      </c>
      <c r="AZ18" s="432">
        <f>ROUND(-1.7/2,1)</f>
        <v>-0.9</v>
      </c>
      <c r="BA18" s="432">
        <f>ROUND(-1.7/2,1)+0.1</f>
        <v>-0.8</v>
      </c>
      <c r="BB18" s="432">
        <f>ROUND(-0.1/2,1)</f>
        <v>-0.1</v>
      </c>
      <c r="BC18" s="432">
        <f>ROUND(-0.1/2,1)+0.1</f>
        <v>0</v>
      </c>
      <c r="BD18" s="125">
        <v>0.70000000000014495</v>
      </c>
      <c r="BE18" s="141" t="s">
        <v>247</v>
      </c>
      <c r="BF18" s="379"/>
      <c r="BG18" s="368"/>
      <c r="BH18" s="333" t="str">
        <f ca="1">INDIRECT(ADDRESS(MATCH($B18,'【別紙1】標高（入力）'!$B:$B,0),'【別紙1】標高（入力）'!$N$2,4,TRUE,"【別紙1】標高（入力）"))</f>
        <v>R2</v>
      </c>
      <c r="BI18" s="342">
        <f ca="1">INDIRECT(ADDRESS(MATCH($B18,'【別紙1】標高（入力）'!$B:$B,0),'【別紙1】標高（入力）'!$O$2,4,TRUE,"【別紙1】標高（入力）"))</f>
        <v>11.536899999999999</v>
      </c>
      <c r="BJ18" s="392"/>
    </row>
    <row r="19" spans="1:62" ht="15.95" customHeight="1">
      <c r="A19" s="119">
        <v>204</v>
      </c>
      <c r="B19" s="107" t="s">
        <v>419</v>
      </c>
      <c r="C19" s="114" t="s">
        <v>38</v>
      </c>
      <c r="D19" s="110" t="s">
        <v>696</v>
      </c>
      <c r="E19" s="109" t="s">
        <v>46</v>
      </c>
      <c r="F19" s="111" t="s">
        <v>9</v>
      </c>
      <c r="G19" s="112" t="s">
        <v>19</v>
      </c>
      <c r="H19" s="112" t="s">
        <v>541</v>
      </c>
      <c r="I19" s="112" t="s">
        <v>539</v>
      </c>
      <c r="J19" s="112" t="s">
        <v>264</v>
      </c>
      <c r="K19" s="224"/>
      <c r="L19" s="432">
        <f>ROUND(83.4/2,1)</f>
        <v>41.7</v>
      </c>
      <c r="M19" s="432">
        <f>ROUND(83.4/2,1)</f>
        <v>41.7</v>
      </c>
      <c r="N19" s="127">
        <v>16.3</v>
      </c>
      <c r="O19" s="124">
        <v>10.7</v>
      </c>
      <c r="P19" s="124">
        <v>14.5</v>
      </c>
      <c r="Q19" s="124">
        <v>27.2</v>
      </c>
      <c r="R19" s="124">
        <v>15.7</v>
      </c>
      <c r="S19" s="123">
        <v>-8.9</v>
      </c>
      <c r="T19" s="415" t="s">
        <v>47</v>
      </c>
      <c r="U19" s="413" t="s">
        <v>47</v>
      </c>
      <c r="V19" s="127">
        <v>20.8</v>
      </c>
      <c r="W19" s="124">
        <v>41.1</v>
      </c>
      <c r="X19" s="124">
        <v>8.5</v>
      </c>
      <c r="Y19" s="124">
        <v>-5</v>
      </c>
      <c r="Z19" s="124">
        <v>-0.2</v>
      </c>
      <c r="AA19" s="124">
        <v>8.1999999999999993</v>
      </c>
      <c r="AB19" s="124">
        <v>10.9</v>
      </c>
      <c r="AC19" s="124">
        <v>22</v>
      </c>
      <c r="AD19" s="124">
        <v>-1.4</v>
      </c>
      <c r="AE19" s="124">
        <v>5.3</v>
      </c>
      <c r="AF19" s="124">
        <v>5.7</v>
      </c>
      <c r="AG19" s="124">
        <v>13.3</v>
      </c>
      <c r="AH19" s="123">
        <v>0</v>
      </c>
      <c r="AI19" s="126">
        <v>1.1000000000000001</v>
      </c>
      <c r="AJ19" s="128">
        <v>11.7</v>
      </c>
      <c r="AK19" s="128">
        <v>4.2</v>
      </c>
      <c r="AL19" s="123">
        <v>-3</v>
      </c>
      <c r="AM19" s="129" t="s">
        <v>1134</v>
      </c>
      <c r="AN19" s="123">
        <v>-1.7</v>
      </c>
      <c r="AO19" s="125">
        <v>9.4</v>
      </c>
      <c r="AP19" s="432">
        <f>ROUND(4.9/2,1)</f>
        <v>2.5</v>
      </c>
      <c r="AQ19" s="432">
        <f>ROUND(4.9/2,1)-0.1</f>
        <v>2.4</v>
      </c>
      <c r="AR19" s="125">
        <v>0.8</v>
      </c>
      <c r="AS19" s="125">
        <v>3.3</v>
      </c>
      <c r="AT19" s="125">
        <v>2.1</v>
      </c>
      <c r="AU19" s="125">
        <v>-3.3</v>
      </c>
      <c r="AV19" s="125">
        <v>-2.6</v>
      </c>
      <c r="AW19" s="432">
        <f>ROUND(7/2,1)</f>
        <v>3.5</v>
      </c>
      <c r="AX19" s="432">
        <f>ROUND(7/2,1)</f>
        <v>3.5</v>
      </c>
      <c r="AY19" s="122">
        <v>-4.5999999999999996</v>
      </c>
      <c r="AZ19" s="126">
        <v>0</v>
      </c>
      <c r="BA19" s="126">
        <v>-1.7</v>
      </c>
      <c r="BB19" s="126">
        <v>0.8</v>
      </c>
      <c r="BC19" s="122">
        <v>-0.1</v>
      </c>
      <c r="BD19" s="125">
        <v>1.0999999999992127</v>
      </c>
      <c r="BE19" s="141">
        <v>2.3999999999997357</v>
      </c>
      <c r="BF19" s="379"/>
      <c r="BG19" s="368"/>
      <c r="BH19" s="333" t="str">
        <f ca="1">INDIRECT(ADDRESS(MATCH($B19,'【別紙1】標高（入力）'!$B:$B,0),'【別紙1】標高（入力）'!$N$2,4,TRUE,"【別紙1】標高（入力）"))</f>
        <v>R3</v>
      </c>
      <c r="BI19" s="342">
        <f ca="1">INDIRECT(ADDRESS(MATCH($B19,'【別紙1】標高（入力）'!$B:$B,0),'【別紙1】標高（入力）'!$O$2,4,TRUE,"【別紙1】標高（入力）"))</f>
        <v>8.7067999999999994</v>
      </c>
      <c r="BJ19" s="392" t="s">
        <v>1135</v>
      </c>
    </row>
    <row r="20" spans="1:62" ht="15.95" customHeight="1">
      <c r="A20" s="119">
        <v>205</v>
      </c>
      <c r="B20" s="107" t="s">
        <v>420</v>
      </c>
      <c r="C20" s="114" t="s">
        <v>38</v>
      </c>
      <c r="D20" s="110" t="s">
        <v>48</v>
      </c>
      <c r="E20" s="109" t="s">
        <v>49</v>
      </c>
      <c r="F20" s="111" t="s">
        <v>9</v>
      </c>
      <c r="G20" s="112" t="s">
        <v>19</v>
      </c>
      <c r="H20" s="112" t="s">
        <v>541</v>
      </c>
      <c r="I20" s="112" t="s">
        <v>539</v>
      </c>
      <c r="J20" s="112" t="s">
        <v>265</v>
      </c>
      <c r="K20" s="224"/>
      <c r="L20" s="432">
        <f>ROUND(49.3/2,1)</f>
        <v>24.7</v>
      </c>
      <c r="M20" s="432">
        <f>ROUND(49.3/2,1)-0.1</f>
        <v>24.599999999999998</v>
      </c>
      <c r="N20" s="127">
        <v>5.4</v>
      </c>
      <c r="O20" s="124">
        <v>6.1</v>
      </c>
      <c r="P20" s="124">
        <v>13.4</v>
      </c>
      <c r="Q20" s="124">
        <v>6.5</v>
      </c>
      <c r="R20" s="124">
        <v>6.5</v>
      </c>
      <c r="S20" s="124">
        <v>-4.4000000000000004</v>
      </c>
      <c r="T20" s="124">
        <v>2</v>
      </c>
      <c r="U20" s="124">
        <v>6.2</v>
      </c>
      <c r="V20" s="124">
        <v>9.3000000000000007</v>
      </c>
      <c r="W20" s="124">
        <v>13.9</v>
      </c>
      <c r="X20" s="124">
        <v>10</v>
      </c>
      <c r="Y20" s="124">
        <v>-1.2</v>
      </c>
      <c r="Z20" s="124">
        <v>7.7</v>
      </c>
      <c r="AA20" s="124">
        <v>3.8</v>
      </c>
      <c r="AB20" s="124">
        <v>4</v>
      </c>
      <c r="AC20" s="124">
        <v>10</v>
      </c>
      <c r="AD20" s="124">
        <v>0.8</v>
      </c>
      <c r="AE20" s="124">
        <v>3.4</v>
      </c>
      <c r="AF20" s="124">
        <v>4.0999999999999996</v>
      </c>
      <c r="AG20" s="124">
        <v>5.6</v>
      </c>
      <c r="AH20" s="123">
        <v>-1.9</v>
      </c>
      <c r="AI20" s="126">
        <v>0.6</v>
      </c>
      <c r="AJ20" s="128">
        <v>3.2</v>
      </c>
      <c r="AK20" s="128">
        <v>2.2999999999999998</v>
      </c>
      <c r="AL20" s="123">
        <v>0.7</v>
      </c>
      <c r="AM20" s="124">
        <v>9.99999999997669E-2</v>
      </c>
      <c r="AN20" s="123">
        <v>-1</v>
      </c>
      <c r="AO20" s="125">
        <v>5.7</v>
      </c>
      <c r="AP20" s="432">
        <f>ROUND(9.4/2,1)</f>
        <v>4.7</v>
      </c>
      <c r="AQ20" s="432">
        <f>ROUND(9.4/2,1)</f>
        <v>4.7</v>
      </c>
      <c r="AR20" s="125">
        <v>6.5</v>
      </c>
      <c r="AS20" s="125">
        <v>2.8</v>
      </c>
      <c r="AT20" s="125">
        <v>6.5</v>
      </c>
      <c r="AU20" s="125">
        <v>0.7</v>
      </c>
      <c r="AV20" s="125">
        <v>-1.6</v>
      </c>
      <c r="AW20" s="432">
        <f>ROUND(0.9/3,1)</f>
        <v>0.3</v>
      </c>
      <c r="AX20" s="432">
        <f>ROUND(0.9/3,1)</f>
        <v>0.3</v>
      </c>
      <c r="AY20" s="432">
        <f>ROUND(0.9/3,1)</f>
        <v>0.3</v>
      </c>
      <c r="AZ20" s="432">
        <f>ROUND(-2.1/2,1)</f>
        <v>-1.1000000000000001</v>
      </c>
      <c r="BA20" s="432">
        <f>ROUND(-2.1/2,1)+0.1</f>
        <v>-1</v>
      </c>
      <c r="BB20" s="122">
        <v>-0.2</v>
      </c>
      <c r="BC20" s="432">
        <f>ROUND(2.4/2,1)</f>
        <v>1.2</v>
      </c>
      <c r="BD20" s="429">
        <f>ROUND(2.4/2,1)</f>
        <v>1.2</v>
      </c>
      <c r="BE20" s="141" t="s">
        <v>247</v>
      </c>
      <c r="BF20" s="379"/>
      <c r="BG20" s="368"/>
      <c r="BH20" s="333" t="str">
        <f ca="1">INDIRECT(ADDRESS(MATCH($B20,'【別紙1】標高（入力）'!$B:$B,0),'【別紙1】標高（入力）'!$N$2,4,TRUE,"【別紙1】標高（入力）"))</f>
        <v>R2</v>
      </c>
      <c r="BI20" s="342">
        <f ca="1">INDIRECT(ADDRESS(MATCH($B20,'【別紙1】標高（入力）'!$B:$B,0),'【別紙1】標高（入力）'!$O$2,4,TRUE,"【別紙1】標高（入力）"))</f>
        <v>9.6671999999999993</v>
      </c>
      <c r="BJ20" s="392"/>
    </row>
    <row r="21" spans="1:62" ht="15.95" customHeight="1">
      <c r="A21" s="119">
        <v>206</v>
      </c>
      <c r="B21" s="107" t="s">
        <v>422</v>
      </c>
      <c r="C21" s="114" t="s">
        <v>38</v>
      </c>
      <c r="D21" s="110" t="s">
        <v>578</v>
      </c>
      <c r="E21" s="109" t="s">
        <v>51</v>
      </c>
      <c r="F21" s="111" t="s">
        <v>9</v>
      </c>
      <c r="G21" s="112" t="s">
        <v>19</v>
      </c>
      <c r="H21" s="112" t="s">
        <v>541</v>
      </c>
      <c r="I21" s="112" t="s">
        <v>539</v>
      </c>
      <c r="J21" s="112" t="s">
        <v>265</v>
      </c>
      <c r="K21" s="224"/>
      <c r="L21" s="432">
        <f>ROUND(87/2,1)</f>
        <v>43.5</v>
      </c>
      <c r="M21" s="432">
        <f>ROUND(87/2,1)</f>
        <v>43.5</v>
      </c>
      <c r="N21" s="127">
        <v>9.9</v>
      </c>
      <c r="O21" s="124">
        <v>4.5999999999999996</v>
      </c>
      <c r="P21" s="124">
        <v>15.7</v>
      </c>
      <c r="Q21" s="124">
        <v>21.9</v>
      </c>
      <c r="R21" s="124">
        <v>22.6</v>
      </c>
      <c r="S21" s="124">
        <v>-10.5</v>
      </c>
      <c r="T21" s="124">
        <v>16.399999999999999</v>
      </c>
      <c r="U21" s="124">
        <v>6.1</v>
      </c>
      <c r="V21" s="124">
        <v>5.6</v>
      </c>
      <c r="W21" s="124">
        <v>24.1</v>
      </c>
      <c r="X21" s="124">
        <v>2.9</v>
      </c>
      <c r="Y21" s="124">
        <v>-3.1</v>
      </c>
      <c r="Z21" s="124">
        <v>7</v>
      </c>
      <c r="AA21" s="124">
        <v>5.0999999999999996</v>
      </c>
      <c r="AB21" s="124">
        <v>1.6</v>
      </c>
      <c r="AC21" s="124">
        <v>4.7</v>
      </c>
      <c r="AD21" s="124">
        <v>0.6</v>
      </c>
      <c r="AE21" s="124">
        <v>0.3</v>
      </c>
      <c r="AF21" s="124">
        <v>1.8</v>
      </c>
      <c r="AG21" s="124">
        <v>3.9</v>
      </c>
      <c r="AH21" s="123">
        <v>-2.8</v>
      </c>
      <c r="AI21" s="126">
        <v>4.2</v>
      </c>
      <c r="AJ21" s="128">
        <v>2.4</v>
      </c>
      <c r="AK21" s="128">
        <v>0.4</v>
      </c>
      <c r="AL21" s="123">
        <v>0.2</v>
      </c>
      <c r="AM21" s="124">
        <v>-0.19999999999953399</v>
      </c>
      <c r="AN21" s="123">
        <v>-2.4</v>
      </c>
      <c r="AO21" s="125">
        <v>4.5</v>
      </c>
      <c r="AP21" s="432">
        <f>ROUND(4/2,1)</f>
        <v>2</v>
      </c>
      <c r="AQ21" s="432">
        <f>ROUND(4/2,1)</f>
        <v>2</v>
      </c>
      <c r="AR21" s="125">
        <v>0.2</v>
      </c>
      <c r="AS21" s="125">
        <v>1.4</v>
      </c>
      <c r="AT21" s="125">
        <v>1.8</v>
      </c>
      <c r="AU21" s="125">
        <v>-3.4</v>
      </c>
      <c r="AV21" s="125">
        <v>-2.2000000000000002</v>
      </c>
      <c r="AW21" s="432">
        <f>ROUND(-3.2/3,1)</f>
        <v>-1.1000000000000001</v>
      </c>
      <c r="AX21" s="432">
        <f>ROUND(-3.2/3,1)</f>
        <v>-1.1000000000000001</v>
      </c>
      <c r="AY21" s="432">
        <f>ROUND(-3.2/3,1)+0.1</f>
        <v>-1</v>
      </c>
      <c r="AZ21" s="432">
        <f>ROUND(-2.8/2,1)</f>
        <v>-1.4</v>
      </c>
      <c r="BA21" s="432">
        <f>ROUND(-2.8/2,1)</f>
        <v>-1.4</v>
      </c>
      <c r="BB21" s="122">
        <v>0</v>
      </c>
      <c r="BC21" s="432">
        <f>ROUND(1.5/2,1)</f>
        <v>0.8</v>
      </c>
      <c r="BD21" s="429">
        <f>ROUND(1.5/2,1)-0.1</f>
        <v>0.70000000000000007</v>
      </c>
      <c r="BE21" s="141" t="s">
        <v>247</v>
      </c>
      <c r="BF21" s="379"/>
      <c r="BG21" s="368"/>
      <c r="BH21" s="333" t="str">
        <f ca="1">INDIRECT(ADDRESS(MATCH($B21,'【別紙1】標高（入力）'!$B:$B,0),'【別紙1】標高（入力）'!$N$2,4,TRUE,"【別紙1】標高（入力）"))</f>
        <v>R3</v>
      </c>
      <c r="BI21" s="342">
        <f ca="1">INDIRECT(ADDRESS(MATCH($B21,'【別紙1】標高（入力）'!$B:$B,0),'【別紙1】標高（入力）'!$O$2,4,TRUE,"【別紙1】標高（入力）"))</f>
        <v>8.7611000000000008</v>
      </c>
      <c r="BJ21" s="392"/>
    </row>
    <row r="22" spans="1:62" ht="15.95" customHeight="1">
      <c r="A22" s="119">
        <v>207</v>
      </c>
      <c r="B22" s="107" t="s">
        <v>367</v>
      </c>
      <c r="C22" s="114" t="s">
        <v>38</v>
      </c>
      <c r="D22" s="110" t="s">
        <v>665</v>
      </c>
      <c r="E22" s="109" t="s">
        <v>53</v>
      </c>
      <c r="F22" s="111" t="s">
        <v>9</v>
      </c>
      <c r="G22" s="112" t="s">
        <v>19</v>
      </c>
      <c r="H22" s="112" t="s">
        <v>541</v>
      </c>
      <c r="I22" s="112" t="s">
        <v>54</v>
      </c>
      <c r="J22" s="112" t="s">
        <v>265</v>
      </c>
      <c r="K22" s="222"/>
      <c r="L22" s="124">
        <v>46.1</v>
      </c>
      <c r="M22" s="124">
        <v>4.7</v>
      </c>
      <c r="N22" s="124">
        <v>38.4</v>
      </c>
      <c r="O22" s="124">
        <v>14.2</v>
      </c>
      <c r="P22" s="124">
        <v>20.5</v>
      </c>
      <c r="Q22" s="124">
        <v>26.6</v>
      </c>
      <c r="R22" s="124">
        <v>31.8</v>
      </c>
      <c r="S22" s="124">
        <v>-12.2</v>
      </c>
      <c r="T22" s="124">
        <v>33.9</v>
      </c>
      <c r="U22" s="124">
        <v>9.8000000000000007</v>
      </c>
      <c r="V22" s="123">
        <v>35.700000000000003</v>
      </c>
      <c r="W22" s="423" t="s">
        <v>1270</v>
      </c>
      <c r="X22" s="419">
        <v>14.7</v>
      </c>
      <c r="Y22" s="406">
        <v>7.9</v>
      </c>
      <c r="Z22" s="406">
        <v>3.5</v>
      </c>
      <c r="AA22" s="406">
        <v>15.4</v>
      </c>
      <c r="AB22" s="406">
        <v>-1.8</v>
      </c>
      <c r="AC22" s="124">
        <v>13.9</v>
      </c>
      <c r="AD22" s="124">
        <v>-2.2000000000000002</v>
      </c>
      <c r="AE22" s="124">
        <v>2.9</v>
      </c>
      <c r="AF22" s="124">
        <v>3.9</v>
      </c>
      <c r="AG22" s="124">
        <v>4.3</v>
      </c>
      <c r="AH22" s="123">
        <v>0.2</v>
      </c>
      <c r="AI22" s="126">
        <v>13.8</v>
      </c>
      <c r="AJ22" s="128">
        <v>-10.3</v>
      </c>
      <c r="AK22" s="128">
        <v>7.7</v>
      </c>
      <c r="AL22" s="123">
        <v>-2.2000000000000002</v>
      </c>
      <c r="AM22" s="124">
        <v>3.8999999999997899</v>
      </c>
      <c r="AN22" s="123">
        <v>-2.8</v>
      </c>
      <c r="AO22" s="125">
        <v>2.5</v>
      </c>
      <c r="AP22" s="126">
        <v>8.8000000000000007</v>
      </c>
      <c r="AQ22" s="122">
        <v>-0.1</v>
      </c>
      <c r="AR22" s="125">
        <v>3.9</v>
      </c>
      <c r="AS22" s="125">
        <v>0.1</v>
      </c>
      <c r="AT22" s="432">
        <f>ROUND(-1.8/4,1)</f>
        <v>-0.5</v>
      </c>
      <c r="AU22" s="432">
        <f>ROUND(-1.8/4,1)</f>
        <v>-0.5</v>
      </c>
      <c r="AV22" s="432">
        <f>ROUND(-1.8/4,1)+0.1</f>
        <v>-0.4</v>
      </c>
      <c r="AW22" s="432">
        <f>ROUND(-1.8/4,1)+0.1</f>
        <v>-0.4</v>
      </c>
      <c r="AX22" s="122">
        <v>7.5</v>
      </c>
      <c r="AY22" s="432">
        <f>ROUND(-6.7/2,1)</f>
        <v>-3.4</v>
      </c>
      <c r="AZ22" s="432">
        <f>ROUND(-6.7/2,1)+0.1</f>
        <v>-3.3</v>
      </c>
      <c r="BA22" s="432">
        <f>ROUND(-2.6/2,1)</f>
        <v>-1.3</v>
      </c>
      <c r="BB22" s="432">
        <f>ROUND(-2.6/2,1)</f>
        <v>-1.3</v>
      </c>
      <c r="BC22" s="122">
        <v>2</v>
      </c>
      <c r="BD22" s="449">
        <f>ROUND(3.4/2,1)</f>
        <v>1.7</v>
      </c>
      <c r="BE22" s="450">
        <f>ROUND(3.4/2,1)</f>
        <v>1.7</v>
      </c>
      <c r="BF22" s="379"/>
      <c r="BG22" s="368"/>
      <c r="BH22" s="333" t="str">
        <f ca="1">INDIRECT(ADDRESS(MATCH($B22,'【別紙1】標高（入力）'!$B:$B,0),'【別紙1】標高（入力）'!$N$2,4,TRUE,"【別紙1】標高（入力）"))</f>
        <v>R4</v>
      </c>
      <c r="BI22" s="342">
        <f ca="1">INDIRECT(ADDRESS(MATCH($B22,'【別紙1】標高（入力）'!$B:$B,0),'【別紙1】標高（入力）'!$O$2,4,TRUE,"【別紙1】標高（入力）"))</f>
        <v>4.8574000000000002</v>
      </c>
      <c r="BJ22" s="392"/>
    </row>
    <row r="23" spans="1:62" ht="15.95" customHeight="1">
      <c r="A23" s="119">
        <v>208</v>
      </c>
      <c r="B23" s="107" t="s">
        <v>588</v>
      </c>
      <c r="C23" s="114" t="s">
        <v>38</v>
      </c>
      <c r="D23" s="110" t="s">
        <v>678</v>
      </c>
      <c r="E23" s="109" t="s">
        <v>267</v>
      </c>
      <c r="F23" s="111" t="s">
        <v>9</v>
      </c>
      <c r="G23" s="112" t="s">
        <v>10</v>
      </c>
      <c r="H23" s="112" t="s">
        <v>541</v>
      </c>
      <c r="I23" s="112" t="s">
        <v>54</v>
      </c>
      <c r="J23" s="112" t="s">
        <v>265</v>
      </c>
      <c r="K23" s="224"/>
      <c r="L23" s="228"/>
      <c r="M23" s="228"/>
      <c r="N23" s="432">
        <f>ROUND(59.2/3,1)</f>
        <v>19.7</v>
      </c>
      <c r="O23" s="432">
        <f>ROUND(59.2/3,1)</f>
        <v>19.7</v>
      </c>
      <c r="P23" s="432">
        <f>ROUND(59.2/3,1)+0.1</f>
        <v>19.8</v>
      </c>
      <c r="Q23" s="127">
        <v>21.2</v>
      </c>
      <c r="R23" s="124">
        <v>6.2</v>
      </c>
      <c r="S23" s="124">
        <v>-9.8000000000000007</v>
      </c>
      <c r="T23" s="124">
        <v>12.5</v>
      </c>
      <c r="U23" s="124">
        <v>11.3</v>
      </c>
      <c r="V23" s="123">
        <v>28.2</v>
      </c>
      <c r="W23" s="432">
        <f>ROUND(58.7/6,1)</f>
        <v>9.8000000000000007</v>
      </c>
      <c r="X23" s="432">
        <f>ROUND(58.7/6,1)</f>
        <v>9.8000000000000007</v>
      </c>
      <c r="Y23" s="432">
        <f>ROUND(58.7/6,1)</f>
        <v>9.8000000000000007</v>
      </c>
      <c r="Z23" s="432">
        <f>ROUND(58.7/6,1)</f>
        <v>9.8000000000000007</v>
      </c>
      <c r="AA23" s="432">
        <f>ROUND(58.7/6,1)</f>
        <v>9.8000000000000007</v>
      </c>
      <c r="AB23" s="432">
        <f>ROUND(58.7/6,1)-0.1</f>
        <v>9.7000000000000011</v>
      </c>
      <c r="AC23" s="416" t="s">
        <v>47</v>
      </c>
      <c r="AD23" s="127">
        <v>-0.1</v>
      </c>
      <c r="AE23" s="124">
        <v>7.9</v>
      </c>
      <c r="AF23" s="124">
        <v>8.6999999999999993</v>
      </c>
      <c r="AG23" s="124">
        <v>4</v>
      </c>
      <c r="AH23" s="123">
        <v>10.7</v>
      </c>
      <c r="AI23" s="126">
        <v>8.8000000000000007</v>
      </c>
      <c r="AJ23" s="128">
        <v>1.7</v>
      </c>
      <c r="AK23" s="128">
        <v>16.399999999999999</v>
      </c>
      <c r="AL23" s="123">
        <v>-2.2999999999999998</v>
      </c>
      <c r="AM23" s="432">
        <f>ROUND(7.6/2,1)</f>
        <v>3.8</v>
      </c>
      <c r="AN23" s="432">
        <f>ROUND(7.6/2,1)</f>
        <v>3.8</v>
      </c>
      <c r="AO23" s="122">
        <v>8.6999999999999993</v>
      </c>
      <c r="AP23" s="432">
        <f>ROUND(13.9/2,1)</f>
        <v>7</v>
      </c>
      <c r="AQ23" s="432">
        <f>ROUND(13.9/2,1)-0.1</f>
        <v>6.9</v>
      </c>
      <c r="AR23" s="432">
        <f>ROUND(12.8/6,1)</f>
        <v>2.1</v>
      </c>
      <c r="AS23" s="432">
        <f t="shared" ref="AS23:AU23" si="9">ROUND(12.8/6,1)</f>
        <v>2.1</v>
      </c>
      <c r="AT23" s="432">
        <f t="shared" si="9"/>
        <v>2.1</v>
      </c>
      <c r="AU23" s="432">
        <f t="shared" si="9"/>
        <v>2.1</v>
      </c>
      <c r="AV23" s="432">
        <f>ROUND(12.8/6,1)+0.1</f>
        <v>2.2000000000000002</v>
      </c>
      <c r="AW23" s="432">
        <f>ROUND(12.8/6,1)+0.1</f>
        <v>2.2000000000000002</v>
      </c>
      <c r="AX23" s="432">
        <f>ROUND(-4.8/5,1)</f>
        <v>-1</v>
      </c>
      <c r="AY23" s="432">
        <f t="shared" ref="AY23:AZ23" si="10">ROUND(-4.8/5,1)</f>
        <v>-1</v>
      </c>
      <c r="AZ23" s="432">
        <f t="shared" si="10"/>
        <v>-1</v>
      </c>
      <c r="BA23" s="432">
        <f>ROUND(-4.8/5,1)+0.1</f>
        <v>-0.9</v>
      </c>
      <c r="BB23" s="432">
        <f>ROUND(-4.8/5,1)+0.1</f>
        <v>-0.9</v>
      </c>
      <c r="BC23" s="122"/>
      <c r="BD23" s="122" t="s">
        <v>247</v>
      </c>
      <c r="BE23" s="142" t="s">
        <v>247</v>
      </c>
      <c r="BF23" s="379"/>
      <c r="BG23" s="368"/>
      <c r="BH23" s="333" t="str">
        <f ca="1">INDIRECT(ADDRESS(MATCH($B23,'【別紙1】標高（入力）'!$B:$B,0),'【別紙1】標高（入力）'!$N$2,4,TRUE,"【別紙1】標高（入力）"))</f>
        <v>R3</v>
      </c>
      <c r="BI23" s="340">
        <f ca="1">INDIRECT(ADDRESS(MATCH($B23,'【別紙1】標高（入力）'!$B:$B,0),'【別紙1】標高（入力）'!$O$2,4,TRUE,"【別紙1】標高（入力）"))</f>
        <v>2.7118000000000002</v>
      </c>
      <c r="BJ23" s="392"/>
    </row>
    <row r="24" spans="1:62" ht="15.95" customHeight="1">
      <c r="A24" s="119">
        <v>209</v>
      </c>
      <c r="B24" s="107" t="s">
        <v>361</v>
      </c>
      <c r="C24" s="114" t="s">
        <v>38</v>
      </c>
      <c r="D24" s="110" t="s">
        <v>566</v>
      </c>
      <c r="E24" s="109" t="s">
        <v>55</v>
      </c>
      <c r="F24" s="111" t="s">
        <v>9</v>
      </c>
      <c r="G24" s="112" t="s">
        <v>10</v>
      </c>
      <c r="H24" s="112" t="s">
        <v>541</v>
      </c>
      <c r="I24" s="112" t="s">
        <v>54</v>
      </c>
      <c r="J24" s="112" t="s">
        <v>265</v>
      </c>
      <c r="K24" s="224"/>
      <c r="L24" s="228"/>
      <c r="M24" s="221"/>
      <c r="N24" s="124">
        <v>17.7</v>
      </c>
      <c r="O24" s="124">
        <v>12.7</v>
      </c>
      <c r="P24" s="124">
        <v>5.7</v>
      </c>
      <c r="Q24" s="124">
        <v>30.8</v>
      </c>
      <c r="R24" s="124">
        <v>15.1</v>
      </c>
      <c r="S24" s="124">
        <v>-20.2</v>
      </c>
      <c r="T24" s="124">
        <v>12.3</v>
      </c>
      <c r="U24" s="124">
        <v>2.6</v>
      </c>
      <c r="V24" s="123">
        <v>35</v>
      </c>
      <c r="W24" s="432">
        <f>ROUND(35.8/6,1)</f>
        <v>6</v>
      </c>
      <c r="X24" s="432">
        <f>ROUND(35.8/6,1)</f>
        <v>6</v>
      </c>
      <c r="Y24" s="432">
        <f>ROUND(35.8/6,1)</f>
        <v>6</v>
      </c>
      <c r="Z24" s="432">
        <f>ROUND(35.8/6,1)</f>
        <v>6</v>
      </c>
      <c r="AA24" s="432">
        <f>ROUND(35.8/6,1)-0.1</f>
        <v>5.9</v>
      </c>
      <c r="AB24" s="432">
        <f>ROUND(35.8/6,1)-0.1</f>
        <v>5.9</v>
      </c>
      <c r="AC24" s="416" t="s">
        <v>47</v>
      </c>
      <c r="AD24" s="127">
        <v>5.4</v>
      </c>
      <c r="AE24" s="124">
        <v>-2.7</v>
      </c>
      <c r="AF24" s="124">
        <v>4.9000000000000004</v>
      </c>
      <c r="AG24" s="124">
        <v>7</v>
      </c>
      <c r="AH24" s="123">
        <v>5.4</v>
      </c>
      <c r="AI24" s="126">
        <v>21.5</v>
      </c>
      <c r="AJ24" s="123">
        <v>3.5</v>
      </c>
      <c r="AK24" s="411" t="s">
        <v>300</v>
      </c>
      <c r="AL24" s="122">
        <v>0.5</v>
      </c>
      <c r="AM24" s="432">
        <f>ROUND(21.3/2,1)</f>
        <v>10.7</v>
      </c>
      <c r="AN24" s="432">
        <f>ROUND(21.3/2,1)-0.1</f>
        <v>10.6</v>
      </c>
      <c r="AO24" s="122">
        <v>19.7</v>
      </c>
      <c r="AP24" s="432">
        <f>ROUND(26.2/2,1)</f>
        <v>13.1</v>
      </c>
      <c r="AQ24" s="432">
        <f>ROUND(26.2/2,1)</f>
        <v>13.1</v>
      </c>
      <c r="AR24" s="432">
        <f>ROUND(54.1/6,1)</f>
        <v>9</v>
      </c>
      <c r="AS24" s="432">
        <f t="shared" ref="AS24:AV24" si="11">ROUND(54.1/6,1)</f>
        <v>9</v>
      </c>
      <c r="AT24" s="432">
        <f t="shared" si="11"/>
        <v>9</v>
      </c>
      <c r="AU24" s="432">
        <f t="shared" si="11"/>
        <v>9</v>
      </c>
      <c r="AV24" s="432">
        <f t="shared" si="11"/>
        <v>9</v>
      </c>
      <c r="AW24" s="432">
        <f>ROUND(54.1/6,1)+0.1</f>
        <v>9.1</v>
      </c>
      <c r="AX24" s="432">
        <f>ROUND(-5.3/5,1)</f>
        <v>-1.1000000000000001</v>
      </c>
      <c r="AY24" s="432">
        <f t="shared" ref="AY24:AZ24" si="12">ROUND(-5.3/5,1)</f>
        <v>-1.1000000000000001</v>
      </c>
      <c r="AZ24" s="432">
        <f t="shared" si="12"/>
        <v>-1.1000000000000001</v>
      </c>
      <c r="BA24" s="432">
        <f>ROUND(-5.3/5,1)+0.1</f>
        <v>-1</v>
      </c>
      <c r="BB24" s="432">
        <f>ROUND(-5.3/5,1)+0.1</f>
        <v>-1</v>
      </c>
      <c r="BC24" s="122"/>
      <c r="BD24" s="122" t="s">
        <v>247</v>
      </c>
      <c r="BE24" s="142" t="s">
        <v>247</v>
      </c>
      <c r="BF24" s="379"/>
      <c r="BG24" s="368"/>
      <c r="BH24" s="333" t="str">
        <f ca="1">INDIRECT(ADDRESS(MATCH($B24,'【別紙1】標高（入力）'!$B:$B,0),'【別紙1】標高（入力）'!$N$2,4,TRUE,"【別紙1】標高（入力）"))</f>
        <v>R5</v>
      </c>
      <c r="BI24" s="340">
        <f ca="1">INDIRECT(ADDRESS(MATCH($B24,'【別紙1】標高（入力）'!$B:$B,0),'【別紙1】標高（入力）'!$O$2,4,TRUE,"【別紙1】標高（入力）"))</f>
        <v>3.0386000000000002</v>
      </c>
      <c r="BJ24" s="392"/>
    </row>
    <row r="25" spans="1:62" ht="15.95" customHeight="1">
      <c r="A25" s="119">
        <v>210</v>
      </c>
      <c r="B25" s="107" t="s">
        <v>373</v>
      </c>
      <c r="C25" s="114" t="s">
        <v>38</v>
      </c>
      <c r="D25" s="110" t="s">
        <v>697</v>
      </c>
      <c r="E25" s="109" t="s">
        <v>57</v>
      </c>
      <c r="F25" s="111" t="s">
        <v>9</v>
      </c>
      <c r="G25" s="112" t="s">
        <v>19</v>
      </c>
      <c r="H25" s="112" t="s">
        <v>541</v>
      </c>
      <c r="I25" s="112" t="s">
        <v>539</v>
      </c>
      <c r="J25" s="112" t="s">
        <v>265</v>
      </c>
      <c r="K25" s="224"/>
      <c r="L25" s="432">
        <f>ROUND(38.8/2,1)</f>
        <v>19.399999999999999</v>
      </c>
      <c r="M25" s="432">
        <f>ROUND(38.8/2,1)</f>
        <v>19.399999999999999</v>
      </c>
      <c r="N25" s="127">
        <v>7.1</v>
      </c>
      <c r="O25" s="124">
        <v>4.9000000000000004</v>
      </c>
      <c r="P25" s="124">
        <v>10.4</v>
      </c>
      <c r="Q25" s="124">
        <v>4.8</v>
      </c>
      <c r="R25" s="124">
        <v>4.5</v>
      </c>
      <c r="S25" s="124">
        <v>-10.1</v>
      </c>
      <c r="T25" s="124">
        <v>7.3</v>
      </c>
      <c r="U25" s="129" t="s">
        <v>1279</v>
      </c>
      <c r="V25" s="124">
        <v>21.1</v>
      </c>
      <c r="W25" s="124">
        <v>17.399999999999999</v>
      </c>
      <c r="X25" s="124">
        <v>9.1999999999999993</v>
      </c>
      <c r="Y25" s="124">
        <v>3</v>
      </c>
      <c r="Z25" s="124">
        <v>6.6</v>
      </c>
      <c r="AA25" s="124">
        <v>10.6</v>
      </c>
      <c r="AB25" s="124">
        <v>-2.2000000000000002</v>
      </c>
      <c r="AC25" s="124">
        <v>9.6999999999999993</v>
      </c>
      <c r="AD25" s="124">
        <v>-0.3</v>
      </c>
      <c r="AE25" s="124">
        <v>0.2</v>
      </c>
      <c r="AF25" s="124">
        <v>4.3</v>
      </c>
      <c r="AG25" s="124">
        <v>2.2999999999999998</v>
      </c>
      <c r="AH25" s="123">
        <v>0.2</v>
      </c>
      <c r="AI25" s="126">
        <v>9</v>
      </c>
      <c r="AJ25" s="128">
        <v>-3</v>
      </c>
      <c r="AK25" s="128">
        <v>3.7</v>
      </c>
      <c r="AL25" s="123">
        <v>1</v>
      </c>
      <c r="AM25" s="124">
        <v>3.4999999999998401</v>
      </c>
      <c r="AN25" s="124">
        <v>-3.7</v>
      </c>
      <c r="AO25" s="123">
        <v>5.7</v>
      </c>
      <c r="AP25" s="126">
        <v>5.8</v>
      </c>
      <c r="AQ25" s="122">
        <v>-0.7</v>
      </c>
      <c r="AR25" s="125">
        <v>2</v>
      </c>
      <c r="AS25" s="125">
        <v>0.1</v>
      </c>
      <c r="AT25" s="432">
        <f>ROUND(-1/4,1)</f>
        <v>-0.3</v>
      </c>
      <c r="AU25" s="432">
        <f>ROUND(-1/4,1)</f>
        <v>-0.3</v>
      </c>
      <c r="AV25" s="432">
        <f>ROUND(-1/4,1)+0.1</f>
        <v>-0.19999999999999998</v>
      </c>
      <c r="AW25" s="432">
        <f>ROUND(-1/4,1)+0.1</f>
        <v>-0.19999999999999998</v>
      </c>
      <c r="AX25" s="432">
        <f>ROUND(1.5/2,1)</f>
        <v>0.8</v>
      </c>
      <c r="AY25" s="432">
        <f>ROUND(1.5/2,1)-0.1</f>
        <v>0.70000000000000007</v>
      </c>
      <c r="AZ25" s="432">
        <f>ROUND(-4.6/3,1)</f>
        <v>-1.5</v>
      </c>
      <c r="BA25" s="432">
        <f>ROUND(-4.6/3,1)</f>
        <v>-1.5</v>
      </c>
      <c r="BB25" s="432">
        <f>ROUND(-4.6/3,1)-0.1</f>
        <v>-1.6</v>
      </c>
      <c r="BC25" s="432">
        <f>ROUND(3.3/2,1)</f>
        <v>1.7</v>
      </c>
      <c r="BD25" s="429">
        <f>ROUND(3.3/2,1)-0.1</f>
        <v>1.5999999999999999</v>
      </c>
      <c r="BE25" s="141" t="s">
        <v>247</v>
      </c>
      <c r="BF25" s="379"/>
      <c r="BG25" s="368"/>
      <c r="BH25" s="333" t="str">
        <f ca="1">INDIRECT(ADDRESS(MATCH($B25,'【別紙1】標高（入力）'!$B:$B,0),'【別紙1】標高（入力）'!$N$2,4,TRUE,"【別紙1】標高（入力）"))</f>
        <v>R3</v>
      </c>
      <c r="BI25" s="342">
        <f ca="1">INDIRECT(ADDRESS(MATCH($B25,'【別紙1】標高（入力）'!$B:$B,0),'【別紙1】標高（入力）'!$O$2,4,TRUE,"【別紙1】標高（入力）"))</f>
        <v>6.6867000000000001</v>
      </c>
      <c r="BJ25" s="392"/>
    </row>
    <row r="26" spans="1:62" s="231" customFormat="1" ht="15.95" customHeight="1">
      <c r="A26" s="214">
        <v>211</v>
      </c>
      <c r="B26" s="215" t="s">
        <v>371</v>
      </c>
      <c r="C26" s="216" t="s">
        <v>38</v>
      </c>
      <c r="D26" s="217" t="s">
        <v>698</v>
      </c>
      <c r="E26" s="218" t="s">
        <v>59</v>
      </c>
      <c r="F26" s="219" t="s">
        <v>9</v>
      </c>
      <c r="G26" s="220" t="s">
        <v>19</v>
      </c>
      <c r="H26" s="220" t="s">
        <v>541</v>
      </c>
      <c r="I26" s="220" t="s">
        <v>539</v>
      </c>
      <c r="J26" s="220" t="s">
        <v>265</v>
      </c>
      <c r="K26" s="224"/>
      <c r="L26" s="432">
        <f>ROUND(79.6/2,1)</f>
        <v>39.799999999999997</v>
      </c>
      <c r="M26" s="432">
        <f>ROUND(79.6/2,1)</f>
        <v>39.799999999999997</v>
      </c>
      <c r="N26" s="127">
        <v>30.4</v>
      </c>
      <c r="O26" s="124">
        <v>18.5</v>
      </c>
      <c r="P26" s="124">
        <v>15.4</v>
      </c>
      <c r="Q26" s="124">
        <v>17.100000000000001</v>
      </c>
      <c r="R26" s="124">
        <v>9.8000000000000007</v>
      </c>
      <c r="S26" s="124">
        <v>-4.7</v>
      </c>
      <c r="T26" s="124">
        <v>6.3</v>
      </c>
      <c r="U26" s="124">
        <v>7.5</v>
      </c>
      <c r="V26" s="124">
        <v>10.1</v>
      </c>
      <c r="W26" s="124">
        <v>9.6999999999999993</v>
      </c>
      <c r="X26" s="124">
        <v>4.7</v>
      </c>
      <c r="Y26" s="124">
        <v>-0.7</v>
      </c>
      <c r="Z26" s="124">
        <v>2.5</v>
      </c>
      <c r="AA26" s="124">
        <v>10</v>
      </c>
      <c r="AB26" s="124">
        <v>-2.1</v>
      </c>
      <c r="AC26" s="124">
        <v>8</v>
      </c>
      <c r="AD26" s="124">
        <v>-1.1000000000000001</v>
      </c>
      <c r="AE26" s="124">
        <v>-0.7</v>
      </c>
      <c r="AF26" s="124">
        <v>3.7</v>
      </c>
      <c r="AG26" s="124">
        <v>1.3</v>
      </c>
      <c r="AH26" s="123">
        <v>1</v>
      </c>
      <c r="AI26" s="126">
        <v>9.8000000000000007</v>
      </c>
      <c r="AJ26" s="128">
        <v>-5</v>
      </c>
      <c r="AK26" s="128">
        <v>3.2</v>
      </c>
      <c r="AL26" s="123">
        <v>-0.2</v>
      </c>
      <c r="AM26" s="124">
        <v>3.4999999999998401</v>
      </c>
      <c r="AN26" s="124">
        <v>-3.8</v>
      </c>
      <c r="AO26" s="123">
        <v>4.4000000000000004</v>
      </c>
      <c r="AP26" s="126">
        <v>7.2</v>
      </c>
      <c r="AQ26" s="122">
        <v>-0.2</v>
      </c>
      <c r="AR26" s="125">
        <v>1.9</v>
      </c>
      <c r="AS26" s="125">
        <v>-0.5</v>
      </c>
      <c r="AT26" s="432">
        <f>ROUND(-3.7/4,1)</f>
        <v>-0.9</v>
      </c>
      <c r="AU26" s="432">
        <f>ROUND(-3.7/4,1)</f>
        <v>-0.9</v>
      </c>
      <c r="AV26" s="432">
        <f>ROUND(-3.7/4,1)</f>
        <v>-0.9</v>
      </c>
      <c r="AW26" s="432">
        <f>ROUND(-3.7/4,1)-0.1</f>
        <v>-1</v>
      </c>
      <c r="AX26" s="225"/>
      <c r="AY26" s="228"/>
      <c r="AZ26" s="228"/>
      <c r="BA26" s="228"/>
      <c r="BB26" s="232"/>
      <c r="BC26" s="228"/>
      <c r="BD26" s="228"/>
      <c r="BE26" s="230"/>
      <c r="BF26" s="387"/>
      <c r="BG26" s="386"/>
      <c r="BH26" s="334" t="str">
        <f ca="1">INDIRECT(ADDRESS(MATCH($B26,'【別紙1】標高（入力）'!$B:$B,0),'【別紙1】標高（入力）'!$N$2,4,TRUE,"【別紙1】標高（入力）"))</f>
        <v>H23</v>
      </c>
      <c r="BI26" s="343">
        <f ca="1">INDIRECT(ADDRESS(MATCH($B26,'【別紙1】標高（入力）'!$B:$B,0),'【別紙1】標高（入力）'!$O$2,4,TRUE,"【別紙1】標高（入力）"))</f>
        <v>5.6390000000000002</v>
      </c>
      <c r="BJ26" s="393" t="s">
        <v>533</v>
      </c>
    </row>
    <row r="27" spans="1:62" ht="15.95" customHeight="1">
      <c r="A27" s="119">
        <v>212</v>
      </c>
      <c r="B27" s="107" t="s">
        <v>369</v>
      </c>
      <c r="C27" s="114" t="s">
        <v>38</v>
      </c>
      <c r="D27" s="110" t="s">
        <v>1198</v>
      </c>
      <c r="E27" s="109" t="s">
        <v>61</v>
      </c>
      <c r="F27" s="111" t="s">
        <v>9</v>
      </c>
      <c r="G27" s="112" t="s">
        <v>19</v>
      </c>
      <c r="H27" s="112" t="s">
        <v>541</v>
      </c>
      <c r="I27" s="112" t="s">
        <v>539</v>
      </c>
      <c r="J27" s="112" t="s">
        <v>265</v>
      </c>
      <c r="K27" s="222"/>
      <c r="L27" s="124">
        <v>21.7</v>
      </c>
      <c r="M27" s="124">
        <v>28.3</v>
      </c>
      <c r="N27" s="124">
        <v>11.7</v>
      </c>
      <c r="O27" s="124">
        <v>6.5</v>
      </c>
      <c r="P27" s="124">
        <v>12.8</v>
      </c>
      <c r="Q27" s="124">
        <v>9.6999999999999993</v>
      </c>
      <c r="R27" s="124">
        <v>7.7</v>
      </c>
      <c r="S27" s="124">
        <v>-5.6</v>
      </c>
      <c r="T27" s="124">
        <v>6.4</v>
      </c>
      <c r="U27" s="124">
        <v>7.7</v>
      </c>
      <c r="V27" s="124">
        <v>16.7</v>
      </c>
      <c r="W27" s="124">
        <v>6.2</v>
      </c>
      <c r="X27" s="124">
        <v>4.5999999999999996</v>
      </c>
      <c r="Y27" s="406">
        <v>1.1000000000000001</v>
      </c>
      <c r="Z27" s="406">
        <v>6.3</v>
      </c>
      <c r="AA27" s="406">
        <v>15</v>
      </c>
      <c r="AB27" s="406">
        <v>0.6</v>
      </c>
      <c r="AC27" s="124">
        <v>11.2</v>
      </c>
      <c r="AD27" s="124">
        <v>0.2</v>
      </c>
      <c r="AE27" s="124">
        <v>0.9</v>
      </c>
      <c r="AF27" s="124">
        <v>6.7</v>
      </c>
      <c r="AG27" s="124">
        <v>5.4</v>
      </c>
      <c r="AH27" s="123">
        <v>9</v>
      </c>
      <c r="AI27" s="126">
        <v>11.6</v>
      </c>
      <c r="AJ27" s="128">
        <v>-4.5</v>
      </c>
      <c r="AK27" s="128">
        <v>4.0999999999999996</v>
      </c>
      <c r="AL27" s="123">
        <v>1.7</v>
      </c>
      <c r="AM27" s="124">
        <v>4.5999999999999401</v>
      </c>
      <c r="AN27" s="124">
        <v>-1.2</v>
      </c>
      <c r="AO27" s="123">
        <v>5.2</v>
      </c>
      <c r="AP27" s="126">
        <v>8.1999999999999993</v>
      </c>
      <c r="AQ27" s="122">
        <v>2.2999999999999998</v>
      </c>
      <c r="AR27" s="125">
        <v>6.6</v>
      </c>
      <c r="AS27" s="125">
        <v>1.3</v>
      </c>
      <c r="AT27" s="432">
        <f>ROUND(2.7/4,1)</f>
        <v>0.7</v>
      </c>
      <c r="AU27" s="432">
        <f>ROUND(2.7/4,1)</f>
        <v>0.7</v>
      </c>
      <c r="AV27" s="432">
        <f>ROUND(2.7/4,1)</f>
        <v>0.7</v>
      </c>
      <c r="AW27" s="432">
        <f>ROUND(2.7/4,1)-0.1</f>
        <v>0.6</v>
      </c>
      <c r="AX27" s="432">
        <f>ROUND(3.2/3,1)</f>
        <v>1.1000000000000001</v>
      </c>
      <c r="AY27" s="432">
        <f>ROUND(3.2/3,1)</f>
        <v>1.1000000000000001</v>
      </c>
      <c r="AZ27" s="432">
        <f>ROUND(3.2/3,1)-0.1</f>
        <v>1</v>
      </c>
      <c r="BA27" s="432">
        <f>ROUND(-1.9/2,1)</f>
        <v>-1</v>
      </c>
      <c r="BB27" s="432">
        <f>ROUND(-1.9/2,1)+0.1</f>
        <v>-0.9</v>
      </c>
      <c r="BC27" s="429">
        <f>ROUND(2.8/3,1)</f>
        <v>0.9</v>
      </c>
      <c r="BD27" s="417">
        <f>ROUND(2.8/3,1)</f>
        <v>0.9</v>
      </c>
      <c r="BE27" s="450">
        <f>ROUND(2.8/3,1)+0.1</f>
        <v>1</v>
      </c>
      <c r="BF27" s="379"/>
      <c r="BG27" s="368"/>
      <c r="BH27" s="333" t="str">
        <f ca="1">INDIRECT(ADDRESS(MATCH($B27,'【別紙1】標高（入力）'!$B:$B,0),'【別紙1】標高（入力）'!$N$2,4,TRUE,"【別紙1】標高（入力）"))</f>
        <v>R4</v>
      </c>
      <c r="BI27" s="342">
        <f ca="1">INDIRECT(ADDRESS(MATCH($B27,'【別紙1】標高（入力）'!$B:$B,0),'【別紙1】標高（入力）'!$O$2,4,TRUE,"【別紙1】標高（入力）"))</f>
        <v>5.4462999999999999</v>
      </c>
      <c r="BJ27" s="392"/>
    </row>
    <row r="28" spans="1:62" ht="15.95" customHeight="1">
      <c r="A28" s="119">
        <v>213</v>
      </c>
      <c r="B28" s="107" t="s">
        <v>370</v>
      </c>
      <c r="C28" s="114" t="s">
        <v>38</v>
      </c>
      <c r="D28" s="110" t="s">
        <v>62</v>
      </c>
      <c r="E28" s="109" t="s">
        <v>63</v>
      </c>
      <c r="F28" s="111" t="s">
        <v>9</v>
      </c>
      <c r="G28" s="112" t="s">
        <v>19</v>
      </c>
      <c r="H28" s="112" t="s">
        <v>541</v>
      </c>
      <c r="I28" s="112" t="s">
        <v>539</v>
      </c>
      <c r="J28" s="112" t="s">
        <v>265</v>
      </c>
      <c r="K28" s="222"/>
      <c r="L28" s="124">
        <v>13.6</v>
      </c>
      <c r="M28" s="124">
        <v>59.1</v>
      </c>
      <c r="N28" s="124">
        <v>0.2</v>
      </c>
      <c r="O28" s="124">
        <v>2.7</v>
      </c>
      <c r="P28" s="124">
        <v>16.899999999999999</v>
      </c>
      <c r="Q28" s="124">
        <v>7.4</v>
      </c>
      <c r="R28" s="124">
        <v>8.6999999999999993</v>
      </c>
      <c r="S28" s="124">
        <v>8.9</v>
      </c>
      <c r="T28" s="124">
        <v>15.1</v>
      </c>
      <c r="U28" s="406">
        <v>8</v>
      </c>
      <c r="V28" s="406">
        <v>21</v>
      </c>
      <c r="W28" s="124">
        <v>10.3</v>
      </c>
      <c r="X28" s="123">
        <v>1.9</v>
      </c>
      <c r="Y28" s="432">
        <f>ROUND(8.3/4,1)</f>
        <v>2.1</v>
      </c>
      <c r="Z28" s="432">
        <f>ROUND(8.3/4,1)</f>
        <v>2.1</v>
      </c>
      <c r="AA28" s="432">
        <f>ROUND(8.3/4,1)</f>
        <v>2.1</v>
      </c>
      <c r="AB28" s="432">
        <f>ROUND(8.3/4,1)-0.1</f>
        <v>2</v>
      </c>
      <c r="AC28" s="127">
        <v>9.1</v>
      </c>
      <c r="AD28" s="124">
        <v>-2.8</v>
      </c>
      <c r="AE28" s="124">
        <v>0.7</v>
      </c>
      <c r="AF28" s="124">
        <v>3.6</v>
      </c>
      <c r="AG28" s="123"/>
      <c r="AH28" s="411" t="s">
        <v>47</v>
      </c>
      <c r="AI28" s="121">
        <v>10.199999999999999</v>
      </c>
      <c r="AJ28" s="128">
        <v>-3.4</v>
      </c>
      <c r="AK28" s="128">
        <v>3.7</v>
      </c>
      <c r="AL28" s="123">
        <v>0.5</v>
      </c>
      <c r="AM28" s="432">
        <f>ROUND(-1/2,1)</f>
        <v>-0.5</v>
      </c>
      <c r="AN28" s="432">
        <f>ROUND(-1/2,1)</f>
        <v>-0.5</v>
      </c>
      <c r="AO28" s="432">
        <f>ROUND(12.5/3,1)</f>
        <v>4.2</v>
      </c>
      <c r="AP28" s="432">
        <f>ROUND(12.5/3,1)</f>
        <v>4.2</v>
      </c>
      <c r="AQ28" s="432">
        <f>ROUND(12.5/3,1)-0.1</f>
        <v>4.1000000000000005</v>
      </c>
      <c r="AR28" s="432">
        <f>ROUND(3.1/6,1)</f>
        <v>0.5</v>
      </c>
      <c r="AS28" s="432">
        <f t="shared" ref="AS28:AV28" si="13">ROUND(3.1/6,1)</f>
        <v>0.5</v>
      </c>
      <c r="AT28" s="432">
        <f t="shared" si="13"/>
        <v>0.5</v>
      </c>
      <c r="AU28" s="432">
        <f t="shared" si="13"/>
        <v>0.5</v>
      </c>
      <c r="AV28" s="432">
        <f t="shared" si="13"/>
        <v>0.5</v>
      </c>
      <c r="AW28" s="432">
        <f>ROUND(3.1/6,1)+0.1</f>
        <v>0.6</v>
      </c>
      <c r="AX28" s="432">
        <f>ROUND(-1.6/3,1)</f>
        <v>-0.5</v>
      </c>
      <c r="AY28" s="432">
        <f>ROUND(-1.6/3,1)</f>
        <v>-0.5</v>
      </c>
      <c r="AZ28" s="432">
        <f>ROUND(-1.6/3,1)-0.1</f>
        <v>-0.6</v>
      </c>
      <c r="BA28" s="429">
        <f>ROUND(57.2/5,1)</f>
        <v>11.4</v>
      </c>
      <c r="BB28" s="417">
        <f>ROUND(57.2/5,1)</f>
        <v>11.4</v>
      </c>
      <c r="BC28" s="417">
        <f>ROUND(57.2/5,1)</f>
        <v>11.4</v>
      </c>
      <c r="BD28" s="417">
        <f>ROUND(57.2/5,1)+0.1</f>
        <v>11.5</v>
      </c>
      <c r="BE28" s="450">
        <f>ROUND(57.2/5,1)+0.1</f>
        <v>11.5</v>
      </c>
      <c r="BF28" s="379"/>
      <c r="BG28" s="368"/>
      <c r="BH28" s="333" t="str">
        <f ca="1">INDIRECT(ADDRESS(MATCH($B28,'【別紙1】標高（入力）'!$B:$B,0),'【別紙1】標高（入力）'!$N$2,4,TRUE,"【別紙1】標高（入力）"))</f>
        <v>R4</v>
      </c>
      <c r="BI28" s="340">
        <f ca="1">INDIRECT(ADDRESS(MATCH($B28,'【別紙1】標高（入力）'!$B:$B,0),'【別紙1】標高（入力）'!$O$2,4,TRUE,"【別紙1】標高（入力）"))</f>
        <v>4.7294999999999998</v>
      </c>
      <c r="BJ28" s="392"/>
    </row>
    <row r="29" spans="1:62" ht="15.95" customHeight="1">
      <c r="A29" s="119">
        <v>214</v>
      </c>
      <c r="B29" s="107" t="s">
        <v>1172</v>
      </c>
      <c r="C29" s="114" t="s">
        <v>38</v>
      </c>
      <c r="D29" s="110" t="s">
        <v>680</v>
      </c>
      <c r="E29" s="109" t="s">
        <v>269</v>
      </c>
      <c r="F29" s="111" t="s">
        <v>9</v>
      </c>
      <c r="G29" s="112" t="s">
        <v>255</v>
      </c>
      <c r="H29" s="112" t="s">
        <v>542</v>
      </c>
      <c r="I29" s="112" t="s">
        <v>539</v>
      </c>
      <c r="J29" s="112" t="s">
        <v>265</v>
      </c>
      <c r="K29" s="224"/>
      <c r="L29" s="228"/>
      <c r="M29" s="221"/>
      <c r="N29" s="123">
        <v>5.3</v>
      </c>
      <c r="O29" s="432">
        <f>ROUND(13.9/2,1)</f>
        <v>7</v>
      </c>
      <c r="P29" s="432">
        <f>ROUND(13.9/2,1)-0.1</f>
        <v>6.9</v>
      </c>
      <c r="Q29" s="127">
        <v>3.6</v>
      </c>
      <c r="R29" s="124">
        <v>1.3</v>
      </c>
      <c r="S29" s="124">
        <v>-5.8</v>
      </c>
      <c r="T29" s="123">
        <v>6.3</v>
      </c>
      <c r="U29" s="432">
        <f>ROUND(11.1/2,1)</f>
        <v>5.6</v>
      </c>
      <c r="V29" s="432">
        <f>ROUND(11.1/2,1)-0.1</f>
        <v>5.5</v>
      </c>
      <c r="W29" s="228"/>
      <c r="X29" s="228"/>
      <c r="Y29" s="424"/>
      <c r="Z29" s="424"/>
      <c r="AA29" s="424"/>
      <c r="AB29" s="424"/>
      <c r="AC29" s="424"/>
      <c r="AD29" s="424"/>
      <c r="AE29" s="424"/>
      <c r="AF29" s="424"/>
      <c r="AG29" s="424"/>
      <c r="AH29" s="428"/>
      <c r="AI29" s="138" t="s">
        <v>260</v>
      </c>
      <c r="AJ29" s="228"/>
      <c r="AK29" s="228"/>
      <c r="AL29" s="228"/>
      <c r="AM29" s="228"/>
      <c r="AN29" s="138" t="s">
        <v>256</v>
      </c>
      <c r="AO29" s="122">
        <v>4.5999999999999996</v>
      </c>
      <c r="AP29" s="432">
        <f>ROUND(9.2/2,1)</f>
        <v>4.5999999999999996</v>
      </c>
      <c r="AQ29" s="432">
        <f>ROUND(9.2/2,1)</f>
        <v>4.5999999999999996</v>
      </c>
      <c r="AR29" s="432">
        <f>ROUND(10.7/6,1)</f>
        <v>1.8</v>
      </c>
      <c r="AS29" s="432">
        <f t="shared" ref="AS29:AV29" si="14">ROUND(10.7/6,1)</f>
        <v>1.8</v>
      </c>
      <c r="AT29" s="432">
        <f t="shared" si="14"/>
        <v>1.8</v>
      </c>
      <c r="AU29" s="432">
        <f t="shared" si="14"/>
        <v>1.8</v>
      </c>
      <c r="AV29" s="432">
        <f t="shared" si="14"/>
        <v>1.8</v>
      </c>
      <c r="AW29" s="432">
        <f>ROUND(10.7/6,1)-0.1</f>
        <v>1.7</v>
      </c>
      <c r="AX29" s="125">
        <v>8.4</v>
      </c>
      <c r="AY29" s="432">
        <f>ROUND(-7.6/4,1)</f>
        <v>-1.9</v>
      </c>
      <c r="AZ29" s="432">
        <f>ROUND(-7.6/4,1)</f>
        <v>-1.9</v>
      </c>
      <c r="BA29" s="432">
        <f>ROUND(-7.6/4,1)</f>
        <v>-1.9</v>
      </c>
      <c r="BB29" s="432">
        <f>ROUND(-7.6/4,1)</f>
        <v>-1.9</v>
      </c>
      <c r="BC29" s="122">
        <v>-1</v>
      </c>
      <c r="BD29" s="125" t="s">
        <v>247</v>
      </c>
      <c r="BE29" s="142" t="s">
        <v>247</v>
      </c>
      <c r="BF29" s="379"/>
      <c r="BG29" s="368"/>
      <c r="BH29" s="333" t="str">
        <f ca="1">INDIRECT(ADDRESS(MATCH($B29,'【別紙1】標高（入力）'!$B:$B,0),'【別紙1】標高（入力）'!$N$2,4,TRUE,"【別紙1】標高（入力）"))</f>
        <v>R5</v>
      </c>
      <c r="BI29" s="340">
        <f ca="1">INDIRECT(ADDRESS(MATCH($B29,'【別紙1】標高（入力）'!$B:$B,0),'【別紙1】標高（入力）'!$O$2,4,TRUE,"【別紙1】標高（入力）"))</f>
        <v>4.8742000000000001</v>
      </c>
      <c r="BJ29" s="392"/>
    </row>
    <row r="30" spans="1:62" ht="15.95" customHeight="1">
      <c r="A30" s="119">
        <v>215</v>
      </c>
      <c r="B30" s="107" t="s">
        <v>400</v>
      </c>
      <c r="C30" s="114" t="s">
        <v>38</v>
      </c>
      <c r="D30" s="110" t="s">
        <v>653</v>
      </c>
      <c r="E30" s="109" t="s">
        <v>66</v>
      </c>
      <c r="F30" s="111" t="s">
        <v>9</v>
      </c>
      <c r="G30" s="112" t="s">
        <v>19</v>
      </c>
      <c r="H30" s="112" t="s">
        <v>541</v>
      </c>
      <c r="I30" s="112" t="s">
        <v>54</v>
      </c>
      <c r="J30" s="112" t="s">
        <v>265</v>
      </c>
      <c r="K30" s="222"/>
      <c r="L30" s="124">
        <v>45.3</v>
      </c>
      <c r="M30" s="124">
        <v>33.4</v>
      </c>
      <c r="N30" s="123">
        <v>30.2</v>
      </c>
      <c r="O30" s="432">
        <f>ROUND(46.1/2,1)</f>
        <v>23.1</v>
      </c>
      <c r="P30" s="432">
        <f>ROUND(46.1/2,1)-0.1</f>
        <v>23</v>
      </c>
      <c r="Q30" s="127">
        <v>19.8</v>
      </c>
      <c r="R30" s="124">
        <v>18.8</v>
      </c>
      <c r="S30" s="124">
        <v>-2.2000000000000002</v>
      </c>
      <c r="T30" s="124">
        <v>12.5</v>
      </c>
      <c r="U30" s="124">
        <v>4</v>
      </c>
      <c r="V30" s="124">
        <v>16</v>
      </c>
      <c r="W30" s="124">
        <v>19.100000000000001</v>
      </c>
      <c r="X30" s="123">
        <v>9.1999999999999993</v>
      </c>
      <c r="Y30" s="432">
        <f>ROUND(11.5/4,1)</f>
        <v>2.9</v>
      </c>
      <c r="Z30" s="432">
        <f>ROUND(11.5/4,1)</f>
        <v>2.9</v>
      </c>
      <c r="AA30" s="432">
        <f>ROUND(11.5/4,1)</f>
        <v>2.9</v>
      </c>
      <c r="AB30" s="432">
        <f>ROUND(11.5/4,1)-0.1</f>
        <v>2.8</v>
      </c>
      <c r="AC30" s="432">
        <f>ROUND(15.5/3,1)</f>
        <v>5.2</v>
      </c>
      <c r="AD30" s="432">
        <f>ROUND(15.5/3,1)</f>
        <v>5.2</v>
      </c>
      <c r="AE30" s="432">
        <f>ROUND(15.5/3,1)-0.1</f>
        <v>5.1000000000000005</v>
      </c>
      <c r="AF30" s="432">
        <f>ROUND(18.5/3,1)</f>
        <v>6.2</v>
      </c>
      <c r="AG30" s="432">
        <f>ROUND(18.5/3,1)</f>
        <v>6.2</v>
      </c>
      <c r="AH30" s="432">
        <f>ROUND(18.5/3,1)-0.1</f>
        <v>6.1000000000000005</v>
      </c>
      <c r="AI30" s="432">
        <f>ROUND(11.8/3,1)</f>
        <v>3.9</v>
      </c>
      <c r="AJ30" s="432">
        <f>ROUND(11.8/3,1)</f>
        <v>3.9</v>
      </c>
      <c r="AK30" s="432">
        <f>ROUND(11.8/3,1)+0.1</f>
        <v>4</v>
      </c>
      <c r="AL30" s="432">
        <f>ROUND(3.3/3,1)</f>
        <v>1.1000000000000001</v>
      </c>
      <c r="AM30" s="432">
        <f>ROUND(3.3/3,1)</f>
        <v>1.1000000000000001</v>
      </c>
      <c r="AN30" s="432">
        <f>ROUND(3.3/3,1)</f>
        <v>1.1000000000000001</v>
      </c>
      <c r="AO30" s="125">
        <v>8.1</v>
      </c>
      <c r="AP30" s="432">
        <f>ROUND(6.1/2,1)</f>
        <v>3.1</v>
      </c>
      <c r="AQ30" s="432">
        <f>ROUND(6.1/2,1)-0.1</f>
        <v>3</v>
      </c>
      <c r="AR30" s="125">
        <v>1</v>
      </c>
      <c r="AS30" s="432">
        <f>ROUND(5.5/5,1)</f>
        <v>1.1000000000000001</v>
      </c>
      <c r="AT30" s="432">
        <f t="shared" ref="AT30:AW30" si="15">ROUND(5.5/5,1)</f>
        <v>1.1000000000000001</v>
      </c>
      <c r="AU30" s="432">
        <f t="shared" si="15"/>
        <v>1.1000000000000001</v>
      </c>
      <c r="AV30" s="432">
        <f t="shared" si="15"/>
        <v>1.1000000000000001</v>
      </c>
      <c r="AW30" s="432">
        <f t="shared" si="15"/>
        <v>1.1000000000000001</v>
      </c>
      <c r="AX30" s="125">
        <v>7.3</v>
      </c>
      <c r="AY30" s="432">
        <f>ROUND(-11/2,1)</f>
        <v>-5.5</v>
      </c>
      <c r="AZ30" s="432">
        <f>ROUND(-11/2,1)</f>
        <v>-5.5</v>
      </c>
      <c r="BA30" s="432">
        <f>ROUND(-2.4/3,1)</f>
        <v>-0.8</v>
      </c>
      <c r="BB30" s="432">
        <f>ROUND(-2.4/3,1)</f>
        <v>-0.8</v>
      </c>
      <c r="BC30" s="432">
        <f>ROUND(-2.4/3,1)</f>
        <v>-0.8</v>
      </c>
      <c r="BD30" s="449">
        <f>ROUND(0.7/2,1)</f>
        <v>0.4</v>
      </c>
      <c r="BE30" s="451">
        <f>ROUND(0.7/2,1)-0.1</f>
        <v>0.30000000000000004</v>
      </c>
      <c r="BF30" s="379"/>
      <c r="BG30" s="368"/>
      <c r="BH30" s="335" t="str">
        <f ca="1">INDIRECT(ADDRESS(MATCH($B30,'【別紙1】標高（入力）'!$B:$B,0),'【別紙1】標高（入力）'!$N$2,4,TRUE,"【別紙1】標高（入力）"))</f>
        <v>R4</v>
      </c>
      <c r="BI30" s="342">
        <f ca="1">INDIRECT(ADDRESS(MATCH($B30,'【別紙1】標高（入力）'!$B:$B,0),'【別紙1】標高（入力）'!$O$2,4,TRUE,"【別紙1】標高（入力）"))</f>
        <v>3.3919000000000001</v>
      </c>
      <c r="BJ30" s="392"/>
    </row>
    <row r="31" spans="1:62" ht="14.25" customHeight="1">
      <c r="A31" s="119">
        <v>216</v>
      </c>
      <c r="B31" s="107" t="s">
        <v>397</v>
      </c>
      <c r="C31" s="114" t="s">
        <v>38</v>
      </c>
      <c r="D31" s="110" t="s">
        <v>699</v>
      </c>
      <c r="E31" s="109" t="s">
        <v>68</v>
      </c>
      <c r="F31" s="111" t="s">
        <v>9</v>
      </c>
      <c r="G31" s="112" t="s">
        <v>19</v>
      </c>
      <c r="H31" s="112" t="s">
        <v>541</v>
      </c>
      <c r="I31" s="112" t="s">
        <v>539</v>
      </c>
      <c r="J31" s="112" t="s">
        <v>265</v>
      </c>
      <c r="K31" s="222"/>
      <c r="L31" s="124">
        <v>13.9</v>
      </c>
      <c r="M31" s="124">
        <v>0.6</v>
      </c>
      <c r="N31" s="124">
        <v>2.1</v>
      </c>
      <c r="O31" s="124">
        <v>3.9</v>
      </c>
      <c r="P31" s="124">
        <v>8.6999999999999993</v>
      </c>
      <c r="Q31" s="124">
        <v>3.4</v>
      </c>
      <c r="R31" s="124">
        <v>3.6</v>
      </c>
      <c r="S31" s="124">
        <v>-7.5</v>
      </c>
      <c r="T31" s="124">
        <v>4.7</v>
      </c>
      <c r="U31" s="406">
        <v>1.9</v>
      </c>
      <c r="V31" s="406">
        <v>8.4</v>
      </c>
      <c r="W31" s="124">
        <v>3.3</v>
      </c>
      <c r="X31" s="123">
        <v>1.4</v>
      </c>
      <c r="Y31" s="432">
        <f>ROUND(18.6/4,1)</f>
        <v>4.7</v>
      </c>
      <c r="Z31" s="432">
        <f>ROUND(18.6/4,1)</f>
        <v>4.7</v>
      </c>
      <c r="AA31" s="432">
        <f>ROUND(18.6/4,1)-0.1</f>
        <v>4.6000000000000005</v>
      </c>
      <c r="AB31" s="432">
        <f>ROUND(18.6/4,1)-0.1</f>
        <v>4.6000000000000005</v>
      </c>
      <c r="AC31" s="127">
        <v>10</v>
      </c>
      <c r="AD31" s="124">
        <v>-0.4</v>
      </c>
      <c r="AE31" s="124">
        <v>0.7</v>
      </c>
      <c r="AF31" s="124">
        <v>8.5</v>
      </c>
      <c r="AG31" s="124"/>
      <c r="AH31" s="123">
        <v>10</v>
      </c>
      <c r="AI31" s="126">
        <v>9.3000000000000007</v>
      </c>
      <c r="AJ31" s="128">
        <v>-1.2</v>
      </c>
      <c r="AK31" s="128">
        <v>5.3</v>
      </c>
      <c r="AL31" s="123">
        <v>1.1000000000000001</v>
      </c>
      <c r="AM31" s="432">
        <f>ROUND(-1.1/2,1)</f>
        <v>-0.6</v>
      </c>
      <c r="AN31" s="432">
        <f>ROUND(-1.1/2,1)+0.1</f>
        <v>-0.5</v>
      </c>
      <c r="AO31" s="432">
        <f>ROUND(15.1/3,1)</f>
        <v>5</v>
      </c>
      <c r="AP31" s="432">
        <f>ROUND(15.1/3,1)</f>
        <v>5</v>
      </c>
      <c r="AQ31" s="432">
        <f>ROUND(15.1/3,1)+0.1</f>
        <v>5.0999999999999996</v>
      </c>
      <c r="AR31" s="432">
        <f>ROUND(3.5/6,1)</f>
        <v>0.6</v>
      </c>
      <c r="AS31" s="432">
        <f t="shared" ref="AS31:AV31" si="16">ROUND(3.5/6,1)</f>
        <v>0.6</v>
      </c>
      <c r="AT31" s="432">
        <f t="shared" si="16"/>
        <v>0.6</v>
      </c>
      <c r="AU31" s="432">
        <f t="shared" si="16"/>
        <v>0.6</v>
      </c>
      <c r="AV31" s="432">
        <f t="shared" si="16"/>
        <v>0.6</v>
      </c>
      <c r="AW31" s="432">
        <f>ROUND(3.5/6,1)-0.1</f>
        <v>0.5</v>
      </c>
      <c r="AX31" s="125">
        <v>7.7</v>
      </c>
      <c r="AY31" s="225"/>
      <c r="AZ31" s="228"/>
      <c r="BA31" s="228"/>
      <c r="BB31" s="228"/>
      <c r="BC31" s="138" t="s">
        <v>530</v>
      </c>
      <c r="BD31" s="122" t="s">
        <v>247</v>
      </c>
      <c r="BE31" s="142" t="s">
        <v>247</v>
      </c>
      <c r="BF31" s="379"/>
      <c r="BG31" s="368"/>
      <c r="BH31" s="333" t="s">
        <v>1256</v>
      </c>
      <c r="BI31" s="340">
        <v>3.9039000000000001</v>
      </c>
      <c r="BJ31" s="392"/>
    </row>
    <row r="32" spans="1:62" s="231" customFormat="1" ht="14.25" customHeight="1">
      <c r="A32" s="214">
        <v>217</v>
      </c>
      <c r="B32" s="215" t="s">
        <v>398</v>
      </c>
      <c r="C32" s="216" t="s">
        <v>38</v>
      </c>
      <c r="D32" s="217" t="s">
        <v>326</v>
      </c>
      <c r="E32" s="218" t="s">
        <v>299</v>
      </c>
      <c r="F32" s="219" t="s">
        <v>9</v>
      </c>
      <c r="G32" s="220" t="s">
        <v>10</v>
      </c>
      <c r="H32" s="220" t="s">
        <v>64</v>
      </c>
      <c r="I32" s="220" t="s">
        <v>54</v>
      </c>
      <c r="J32" s="220" t="s">
        <v>265</v>
      </c>
      <c r="K32" s="224"/>
      <c r="L32" s="228"/>
      <c r="M32" s="221"/>
      <c r="N32" s="123">
        <v>3.4</v>
      </c>
      <c r="O32" s="432">
        <f>ROUND(14.7/2,1)</f>
        <v>7.4</v>
      </c>
      <c r="P32" s="432">
        <f>ROUND(14.7/2,1)-0.1</f>
        <v>7.3000000000000007</v>
      </c>
      <c r="Q32" s="127">
        <v>5.4</v>
      </c>
      <c r="R32" s="124">
        <v>2.8</v>
      </c>
      <c r="S32" s="124">
        <v>-6.3</v>
      </c>
      <c r="T32" s="123">
        <v>5.0999999999999996</v>
      </c>
      <c r="U32" s="432">
        <f>ROUND(7.8/2,1)</f>
        <v>3.9</v>
      </c>
      <c r="V32" s="432">
        <f>ROUND(7.8/2,1)</f>
        <v>3.9</v>
      </c>
      <c r="W32" s="424"/>
      <c r="X32" s="424"/>
      <c r="Y32" s="424"/>
      <c r="Z32" s="424"/>
      <c r="AA32" s="424"/>
      <c r="AB32" s="424"/>
      <c r="AC32" s="228"/>
      <c r="AD32" s="228"/>
      <c r="AE32" s="228"/>
      <c r="AF32" s="411" t="s">
        <v>1271</v>
      </c>
      <c r="AG32" s="228"/>
      <c r="AH32" s="228"/>
      <c r="AI32" s="228" t="s">
        <v>247</v>
      </c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30"/>
      <c r="BF32" s="387"/>
      <c r="BG32" s="386"/>
      <c r="BH32" s="336" t="s">
        <v>529</v>
      </c>
      <c r="BI32" s="344" t="s">
        <v>1189</v>
      </c>
      <c r="BJ32" s="393" t="s">
        <v>20</v>
      </c>
    </row>
    <row r="33" spans="1:62" ht="14.25" customHeight="1">
      <c r="A33" s="119">
        <v>218</v>
      </c>
      <c r="B33" s="107" t="s">
        <v>396</v>
      </c>
      <c r="C33" s="114" t="s">
        <v>38</v>
      </c>
      <c r="D33" s="110" t="s">
        <v>326</v>
      </c>
      <c r="E33" s="109" t="s">
        <v>69</v>
      </c>
      <c r="F33" s="111" t="s">
        <v>70</v>
      </c>
      <c r="G33" s="112" t="s">
        <v>19</v>
      </c>
      <c r="H33" s="112" t="s">
        <v>64</v>
      </c>
      <c r="I33" s="112" t="s">
        <v>539</v>
      </c>
      <c r="J33" s="112" t="s">
        <v>265</v>
      </c>
      <c r="K33" s="224"/>
      <c r="L33" s="432">
        <f>ROUND(25.9/2,1)</f>
        <v>13</v>
      </c>
      <c r="M33" s="432">
        <f>ROUND(25.9/2,1)-0.1</f>
        <v>12.9</v>
      </c>
      <c r="N33" s="123">
        <v>4.9000000000000004</v>
      </c>
      <c r="O33" s="432">
        <f>ROUND(21.9/2,1)</f>
        <v>11</v>
      </c>
      <c r="P33" s="432">
        <f>ROUND(21.9/2,1)-0.1</f>
        <v>10.9</v>
      </c>
      <c r="Q33" s="127">
        <v>4.8</v>
      </c>
      <c r="R33" s="124">
        <v>8.6999999999999993</v>
      </c>
      <c r="S33" s="124">
        <v>-2.1</v>
      </c>
      <c r="T33" s="124">
        <v>13.3</v>
      </c>
      <c r="U33" s="124">
        <v>7</v>
      </c>
      <c r="V33" s="123">
        <v>11.3</v>
      </c>
      <c r="W33" s="432">
        <f>ROUND(23.8/6,1)</f>
        <v>4</v>
      </c>
      <c r="X33" s="432">
        <f>ROUND(23.8/6,1)</f>
        <v>4</v>
      </c>
      <c r="Y33" s="432">
        <f>ROUND(23.8/6,1)</f>
        <v>4</v>
      </c>
      <c r="Z33" s="432">
        <f>ROUND(23.8/6,1)</f>
        <v>4</v>
      </c>
      <c r="AA33" s="432">
        <f>ROUND(23.8/6,1)-0.1</f>
        <v>3.9</v>
      </c>
      <c r="AB33" s="432">
        <f>ROUND(23.8/6,1)-0.1</f>
        <v>3.9</v>
      </c>
      <c r="AC33" s="127">
        <v>9.6999999999999993</v>
      </c>
      <c r="AD33" s="124">
        <v>-0.3</v>
      </c>
      <c r="AE33" s="124">
        <v>2</v>
      </c>
      <c r="AF33" s="124"/>
      <c r="AG33" s="124"/>
      <c r="AH33" s="123">
        <v>8.3000000000000007</v>
      </c>
      <c r="AI33" s="126">
        <v>14.9</v>
      </c>
      <c r="AJ33" s="128">
        <v>1.7</v>
      </c>
      <c r="AK33" s="128">
        <v>10.6</v>
      </c>
      <c r="AL33" s="123">
        <v>3.6</v>
      </c>
      <c r="AM33" s="432">
        <f>ROUND(-226/2,1)</f>
        <v>-113</v>
      </c>
      <c r="AN33" s="432">
        <f>ROUND(-226/2,1)</f>
        <v>-113</v>
      </c>
      <c r="AO33" s="432">
        <f>ROUND(41.1/3,1)</f>
        <v>13.7</v>
      </c>
      <c r="AP33" s="432">
        <f>ROUND(41.1/3,1)</f>
        <v>13.7</v>
      </c>
      <c r="AQ33" s="432">
        <f>ROUND(41.1/3,1)</f>
        <v>13.7</v>
      </c>
      <c r="AR33" s="432">
        <f>ROUND(6.6/6,1)</f>
        <v>1.1000000000000001</v>
      </c>
      <c r="AS33" s="432">
        <f t="shared" ref="AS33:AW33" si="17">ROUND(6.6/6,1)</f>
        <v>1.1000000000000001</v>
      </c>
      <c r="AT33" s="432">
        <f t="shared" si="17"/>
        <v>1.1000000000000001</v>
      </c>
      <c r="AU33" s="432">
        <f t="shared" si="17"/>
        <v>1.1000000000000001</v>
      </c>
      <c r="AV33" s="432">
        <f t="shared" si="17"/>
        <v>1.1000000000000001</v>
      </c>
      <c r="AW33" s="432">
        <f t="shared" si="17"/>
        <v>1.1000000000000001</v>
      </c>
      <c r="AX33" s="125">
        <v>8.4</v>
      </c>
      <c r="AY33" s="432">
        <f>ROUND(-14.7/5,1)</f>
        <v>-2.9</v>
      </c>
      <c r="AZ33" s="432">
        <f t="shared" ref="AZ33:BA33" si="18">ROUND(-14.7/5,1)</f>
        <v>-2.9</v>
      </c>
      <c r="BA33" s="432">
        <f t="shared" si="18"/>
        <v>-2.9</v>
      </c>
      <c r="BB33" s="432">
        <f>ROUND(-14.7/5,1)-0.1</f>
        <v>-3</v>
      </c>
      <c r="BC33" s="432">
        <f>ROUND(-14.7/5,1)-0.1</f>
        <v>-3</v>
      </c>
      <c r="BD33" s="125" t="s">
        <v>247</v>
      </c>
      <c r="BE33" s="142" t="s">
        <v>247</v>
      </c>
      <c r="BF33" s="379"/>
      <c r="BG33" s="368"/>
      <c r="BH33" s="333" t="str">
        <f ca="1">INDIRECT(ADDRESS(MATCH($B33,'【別紙1】標高（入力）'!$B:$B,0),'【別紙1】標高（入力）'!$N$2,4,TRUE,"【別紙1】標高（入力）"))</f>
        <v>R5</v>
      </c>
      <c r="BI33" s="340">
        <f ca="1">INDIRECT(ADDRESS(MATCH($B33,'【別紙1】標高（入力）'!$B:$B,0),'【別紙1】標高（入力）'!$O$2,4,TRUE,"【別紙1】標高（入力）"))</f>
        <v>2.9409000000000001</v>
      </c>
      <c r="BJ33" s="392" t="s">
        <v>731</v>
      </c>
    </row>
    <row r="34" spans="1:62" ht="14.25" customHeight="1">
      <c r="A34" s="119">
        <v>219</v>
      </c>
      <c r="B34" s="107" t="s">
        <v>374</v>
      </c>
      <c r="C34" s="114" t="s">
        <v>38</v>
      </c>
      <c r="D34" s="110" t="s">
        <v>709</v>
      </c>
      <c r="E34" s="109" t="s">
        <v>72</v>
      </c>
      <c r="F34" s="111" t="s">
        <v>12</v>
      </c>
      <c r="G34" s="112" t="s">
        <v>73</v>
      </c>
      <c r="H34" s="112" t="s">
        <v>541</v>
      </c>
      <c r="I34" s="112" t="s">
        <v>539</v>
      </c>
      <c r="J34" s="112" t="s">
        <v>265</v>
      </c>
      <c r="K34" s="224"/>
      <c r="L34" s="228"/>
      <c r="M34" s="228"/>
      <c r="N34" s="228"/>
      <c r="O34" s="432">
        <f>ROUND(23.6/2,1)</f>
        <v>11.8</v>
      </c>
      <c r="P34" s="432">
        <f>ROUND(23.6/2,1)</f>
        <v>11.8</v>
      </c>
      <c r="Q34" s="414" t="s">
        <v>1270</v>
      </c>
      <c r="R34" s="413" t="s">
        <v>1270</v>
      </c>
      <c r="S34" s="127">
        <v>-2.7</v>
      </c>
      <c r="T34" s="124">
        <v>8.6</v>
      </c>
      <c r="U34" s="124">
        <v>2.9</v>
      </c>
      <c r="V34" s="124">
        <v>18.5</v>
      </c>
      <c r="W34" s="124">
        <v>16.600000000000001</v>
      </c>
      <c r="X34" s="124">
        <v>17.600000000000001</v>
      </c>
      <c r="Y34" s="124">
        <v>2.9</v>
      </c>
      <c r="Z34" s="124">
        <v>-2.1</v>
      </c>
      <c r="AA34" s="124">
        <v>8.1</v>
      </c>
      <c r="AB34" s="124">
        <v>-3.3</v>
      </c>
      <c r="AC34" s="406">
        <v>10.9</v>
      </c>
      <c r="AD34" s="406">
        <v>-1.8</v>
      </c>
      <c r="AE34" s="406">
        <v>-3.4</v>
      </c>
      <c r="AF34" s="406">
        <v>8</v>
      </c>
      <c r="AG34" s="406">
        <v>2.2999999999999998</v>
      </c>
      <c r="AH34" s="420">
        <v>0.3</v>
      </c>
      <c r="AI34" s="126">
        <v>9.5</v>
      </c>
      <c r="AJ34" s="123">
        <v>0.4</v>
      </c>
      <c r="AK34" s="123">
        <v>3.4</v>
      </c>
      <c r="AL34" s="123">
        <v>1.4</v>
      </c>
      <c r="AM34" s="124">
        <v>3.2000000000005402</v>
      </c>
      <c r="AN34" s="123">
        <v>-4.0999999999999996</v>
      </c>
      <c r="AO34" s="125">
        <v>7</v>
      </c>
      <c r="AP34" s="126">
        <v>6.6</v>
      </c>
      <c r="AQ34" s="122">
        <v>-1.9</v>
      </c>
      <c r="AR34" s="125">
        <v>2.4</v>
      </c>
      <c r="AS34" s="125">
        <v>1.7</v>
      </c>
      <c r="AT34" s="432">
        <f>ROUND(2.6/4,1)</f>
        <v>0.7</v>
      </c>
      <c r="AU34" s="432">
        <f>ROUND(2.6/4,1)</f>
        <v>0.7</v>
      </c>
      <c r="AV34" s="432">
        <f>ROUND(2.6/4,1)-0.1</f>
        <v>0.6</v>
      </c>
      <c r="AW34" s="432">
        <f>ROUND(2.6/4,1)-0.1</f>
        <v>0.6</v>
      </c>
      <c r="AX34" s="125">
        <v>7.2</v>
      </c>
      <c r="AY34" s="432">
        <f>ROUND(-7.4/2,1)</f>
        <v>-3.7</v>
      </c>
      <c r="AZ34" s="432">
        <f>ROUND(-7.4/2,1)</f>
        <v>-3.7</v>
      </c>
      <c r="BA34" s="432">
        <f>ROUND(-1.9/3,1)</f>
        <v>-0.6</v>
      </c>
      <c r="BB34" s="432">
        <f>ROUND(-1.9/3,1)</f>
        <v>-0.6</v>
      </c>
      <c r="BC34" s="432">
        <f>ROUND(-1.9/3,1)-0.1</f>
        <v>-0.7</v>
      </c>
      <c r="BD34" s="449">
        <f>ROUND(1.5/2,1)</f>
        <v>0.8</v>
      </c>
      <c r="BE34" s="451">
        <f>ROUND(1.5/2,1)-0.1</f>
        <v>0.70000000000000007</v>
      </c>
      <c r="BF34" s="379"/>
      <c r="BG34" s="368"/>
      <c r="BH34" s="333" t="e">
        <f ca="1">INDIRECT(ADDRESS(MATCH($B34,'【別紙1】標高（入力）'!$B:$B,0),'【別紙1】標高（入力）'!$N$2,4,TRUE,"【別紙1】標高（入力）"))</f>
        <v>#N/A</v>
      </c>
      <c r="BI34" s="342" t="e">
        <f ca="1">INDIRECT(ADDRESS(MATCH($B34,'【別紙1】標高（入力）'!$B:$B,0),'【別紙1】標高（入力）'!$O$2,4,TRUE,"【別紙1】標高（入力）"))</f>
        <v>#N/A</v>
      </c>
      <c r="BJ34" s="392"/>
    </row>
    <row r="35" spans="1:62" ht="15.95" customHeight="1">
      <c r="A35" s="119">
        <v>220</v>
      </c>
      <c r="B35" s="107" t="s">
        <v>399</v>
      </c>
      <c r="C35" s="114" t="s">
        <v>38</v>
      </c>
      <c r="D35" s="110" t="s">
        <v>667</v>
      </c>
      <c r="E35" s="109" t="s">
        <v>75</v>
      </c>
      <c r="F35" s="111" t="s">
        <v>12</v>
      </c>
      <c r="G35" s="112" t="s">
        <v>19</v>
      </c>
      <c r="H35" s="112" t="s">
        <v>541</v>
      </c>
      <c r="I35" s="112" t="s">
        <v>54</v>
      </c>
      <c r="J35" s="112" t="s">
        <v>265</v>
      </c>
      <c r="K35" s="222"/>
      <c r="L35" s="124">
        <v>39.6</v>
      </c>
      <c r="M35" s="124">
        <v>22.9</v>
      </c>
      <c r="N35" s="124">
        <v>24.9</v>
      </c>
      <c r="O35" s="124">
        <v>12.6</v>
      </c>
      <c r="P35" s="124">
        <v>20.8</v>
      </c>
      <c r="Q35" s="124">
        <v>35.299999999999997</v>
      </c>
      <c r="R35" s="124">
        <v>34</v>
      </c>
      <c r="S35" s="124">
        <v>-2</v>
      </c>
      <c r="T35" s="124">
        <v>59</v>
      </c>
      <c r="U35" s="123">
        <v>17.100000000000001</v>
      </c>
      <c r="V35" s="415" t="s">
        <v>1270</v>
      </c>
      <c r="W35" s="395" t="s">
        <v>1270</v>
      </c>
      <c r="X35" s="413" t="s">
        <v>1270</v>
      </c>
      <c r="Y35" s="424"/>
      <c r="Z35" s="424"/>
      <c r="AA35" s="424"/>
      <c r="AB35" s="425" t="s">
        <v>47</v>
      </c>
      <c r="AC35" s="432">
        <f>ROUND(66.9/3,1)</f>
        <v>22.3</v>
      </c>
      <c r="AD35" s="432">
        <f>ROUND(66.9/3,1)</f>
        <v>22.3</v>
      </c>
      <c r="AE35" s="432">
        <f>ROUND(66.9/3,1)</f>
        <v>22.3</v>
      </c>
      <c r="AF35" s="432">
        <f>ROUND(30.8/3,1)</f>
        <v>10.3</v>
      </c>
      <c r="AG35" s="432">
        <f>ROUND(30.8/3,1)</f>
        <v>10.3</v>
      </c>
      <c r="AH35" s="432">
        <f>ROUND(30.8/3,1)-0.1</f>
        <v>10.200000000000001</v>
      </c>
      <c r="AI35" s="432">
        <f>ROUND(23.3/3,1)</f>
        <v>7.8</v>
      </c>
      <c r="AJ35" s="432">
        <f>ROUND(23.3/3,1)</f>
        <v>7.8</v>
      </c>
      <c r="AK35" s="432">
        <f>ROUND(23.3/3,1)-0.1</f>
        <v>7.7</v>
      </c>
      <c r="AL35" s="432">
        <f>ROUND(17.3/3,1)</f>
        <v>5.8</v>
      </c>
      <c r="AM35" s="432">
        <f>ROUND(17.3/3,1)</f>
        <v>5.8</v>
      </c>
      <c r="AN35" s="432">
        <f>ROUND(17.3/3,1)-0.1</f>
        <v>5.7</v>
      </c>
      <c r="AO35" s="122">
        <v>12.5</v>
      </c>
      <c r="AP35" s="432">
        <f>ROUND(20.1/2,1)</f>
        <v>10.1</v>
      </c>
      <c r="AQ35" s="432">
        <f>ROUND(20.1/2,1)-0.1</f>
        <v>10</v>
      </c>
      <c r="AR35" s="122">
        <v>7.7</v>
      </c>
      <c r="AS35" s="432">
        <f>ROUND(16.7/5,1)</f>
        <v>3.3</v>
      </c>
      <c r="AT35" s="432">
        <f t="shared" ref="AT35:AU35" si="19">ROUND(16.7/5,1)</f>
        <v>3.3</v>
      </c>
      <c r="AU35" s="432">
        <f t="shared" si="19"/>
        <v>3.3</v>
      </c>
      <c r="AV35" s="432">
        <f>ROUND(16.7/5,1)+0.1</f>
        <v>3.4</v>
      </c>
      <c r="AW35" s="432">
        <f>ROUND(16.7/5,1)+0.1</f>
        <v>3.4</v>
      </c>
      <c r="AX35" s="125">
        <v>13.2</v>
      </c>
      <c r="AY35" s="432">
        <f>ROUND(11.7/5,1)</f>
        <v>2.2999999999999998</v>
      </c>
      <c r="AZ35" s="432">
        <f t="shared" ref="AZ35:BA35" si="20">ROUND(11.7/5,1)</f>
        <v>2.2999999999999998</v>
      </c>
      <c r="BA35" s="432">
        <f t="shared" si="20"/>
        <v>2.2999999999999998</v>
      </c>
      <c r="BB35" s="432">
        <f>ROUND(11.7/5,1)+0.1</f>
        <v>2.4</v>
      </c>
      <c r="BC35" s="432">
        <f>ROUND(11.7/5,1)+0.1</f>
        <v>2.4</v>
      </c>
      <c r="BD35" s="125" t="s">
        <v>247</v>
      </c>
      <c r="BE35" s="142" t="s">
        <v>247</v>
      </c>
      <c r="BF35" s="379"/>
      <c r="BG35" s="368"/>
      <c r="BH35" s="335" t="e">
        <f ca="1">INDIRECT(ADDRESS(MATCH($B35,'【別紙1】標高（入力）'!$B:$B,0),'【別紙1】標高（入力）'!$N$2,4,TRUE,"【別紙1】標高（入力）"))</f>
        <v>#N/A</v>
      </c>
      <c r="BI35" s="342" t="e">
        <f ca="1">INDIRECT(ADDRESS(MATCH($B35,'【別紙1】標高（入力）'!$B:$B,0),'【別紙1】標高（入力）'!$O$2,4,TRUE,"【別紙1】標高（入力）"))</f>
        <v>#N/A</v>
      </c>
      <c r="BJ35" s="392"/>
    </row>
    <row r="36" spans="1:62" ht="15.95" customHeight="1">
      <c r="A36" s="119">
        <v>221</v>
      </c>
      <c r="B36" s="107" t="s">
        <v>424</v>
      </c>
      <c r="C36" s="114" t="s">
        <v>38</v>
      </c>
      <c r="D36" s="110" t="s">
        <v>681</v>
      </c>
      <c r="E36" s="109" t="s">
        <v>77</v>
      </c>
      <c r="F36" s="111" t="s">
        <v>12</v>
      </c>
      <c r="G36" s="112" t="s">
        <v>10</v>
      </c>
      <c r="H36" s="112" t="s">
        <v>541</v>
      </c>
      <c r="I36" s="112" t="s">
        <v>539</v>
      </c>
      <c r="J36" s="112" t="s">
        <v>265</v>
      </c>
      <c r="K36" s="224"/>
      <c r="L36" s="228"/>
      <c r="M36" s="221"/>
      <c r="N36" s="123">
        <v>10.199999999999999</v>
      </c>
      <c r="O36" s="432">
        <f>ROUND(23.4/2,1)</f>
        <v>11.7</v>
      </c>
      <c r="P36" s="432">
        <f>ROUND(23.4/2,1)</f>
        <v>11.7</v>
      </c>
      <c r="Q36" s="127">
        <v>10.6</v>
      </c>
      <c r="R36" s="124">
        <v>7.5</v>
      </c>
      <c r="S36" s="124">
        <v>-2.4</v>
      </c>
      <c r="T36" s="124">
        <v>11.1</v>
      </c>
      <c r="U36" s="124">
        <v>1.7</v>
      </c>
      <c r="V36" s="124">
        <v>15.7</v>
      </c>
      <c r="W36" s="124">
        <v>11.8</v>
      </c>
      <c r="X36" s="123">
        <v>3.4</v>
      </c>
      <c r="Y36" s="432">
        <f>ROUND(40.5/4,1)</f>
        <v>10.1</v>
      </c>
      <c r="Z36" s="432">
        <f>ROUND(40.5/4,1)</f>
        <v>10.1</v>
      </c>
      <c r="AA36" s="432">
        <f>ROUND(40.5/4,1)</f>
        <v>10.1</v>
      </c>
      <c r="AB36" s="432">
        <f>ROUND(40.5/4,1)+0.1</f>
        <v>10.199999999999999</v>
      </c>
      <c r="AC36" s="419">
        <v>10.7</v>
      </c>
      <c r="AD36" s="406">
        <v>4.7</v>
      </c>
      <c r="AE36" s="406">
        <v>5.9</v>
      </c>
      <c r="AF36" s="406">
        <v>10.7</v>
      </c>
      <c r="AG36" s="406">
        <v>-0.7</v>
      </c>
      <c r="AH36" s="420">
        <v>11.9</v>
      </c>
      <c r="AI36" s="432">
        <f>ROUND(7.9/2,1)</f>
        <v>4</v>
      </c>
      <c r="AJ36" s="432">
        <f>ROUND(7.9/2,1)-0.1</f>
        <v>3.9</v>
      </c>
      <c r="AK36" s="121">
        <v>6.1</v>
      </c>
      <c r="AL36" s="122">
        <v>5.0999999999999996</v>
      </c>
      <c r="AM36" s="432">
        <f>ROUND(10.9/2,1)</f>
        <v>5.5</v>
      </c>
      <c r="AN36" s="432">
        <f>ROUND(10.9/2,1)-0.1</f>
        <v>5.4</v>
      </c>
      <c r="AO36" s="122">
        <v>11.7</v>
      </c>
      <c r="AP36" s="432">
        <f>ROUND(14.9/3,1)</f>
        <v>5</v>
      </c>
      <c r="AQ36" s="432">
        <f>ROUND(14.9/3,1)</f>
        <v>5</v>
      </c>
      <c r="AR36" s="432">
        <f>ROUND(14.9/3,1)-0.1</f>
        <v>4.9000000000000004</v>
      </c>
      <c r="AS36" s="432">
        <f>ROUND(21.1/6,1)</f>
        <v>3.5</v>
      </c>
      <c r="AT36" s="432">
        <f t="shared" ref="AT36:AW36" si="21">ROUND(21.1/6,1)</f>
        <v>3.5</v>
      </c>
      <c r="AU36" s="432">
        <f t="shared" si="21"/>
        <v>3.5</v>
      </c>
      <c r="AV36" s="432">
        <f t="shared" si="21"/>
        <v>3.5</v>
      </c>
      <c r="AW36" s="432">
        <f t="shared" si="21"/>
        <v>3.5</v>
      </c>
      <c r="AX36" s="432">
        <f>ROUND(21.1/6,1)+0.1</f>
        <v>3.6</v>
      </c>
      <c r="AY36" s="432">
        <f>ROUND(0.2/5,1)</f>
        <v>0</v>
      </c>
      <c r="AZ36" s="432">
        <f t="shared" ref="AZ36:BA36" si="22">ROUND(0.2/5,1)</f>
        <v>0</v>
      </c>
      <c r="BA36" s="432">
        <f t="shared" si="22"/>
        <v>0</v>
      </c>
      <c r="BB36" s="432">
        <f>ROUND(0.2/5,1)+0.1</f>
        <v>0.1</v>
      </c>
      <c r="BC36" s="432">
        <f>ROUND(0.2/5,1)+0.1</f>
        <v>0.1</v>
      </c>
      <c r="BD36" s="125" t="s">
        <v>247</v>
      </c>
      <c r="BE36" s="142" t="s">
        <v>247</v>
      </c>
      <c r="BF36" s="379"/>
      <c r="BG36" s="368"/>
      <c r="BH36" s="335" t="e">
        <f ca="1">INDIRECT(ADDRESS(MATCH($B36,'【別紙1】標高（入力）'!$B:$B,0),'【別紙1】標高（入力）'!$N$2,4,TRUE,"【別紙1】標高（入力）"))</f>
        <v>#N/A</v>
      </c>
      <c r="BI36" s="342" t="e">
        <f ca="1">INDIRECT(ADDRESS(MATCH($B36,'【別紙1】標高（入力）'!$B:$B,0),'【別紙1】標高（入力）'!$O$2,4,TRUE,"【別紙1】標高（入力）"))</f>
        <v>#N/A</v>
      </c>
      <c r="BJ36" s="392"/>
    </row>
    <row r="37" spans="1:62" ht="15.95" customHeight="1">
      <c r="A37" s="119">
        <v>222</v>
      </c>
      <c r="B37" s="107" t="s">
        <v>425</v>
      </c>
      <c r="C37" s="114" t="s">
        <v>38</v>
      </c>
      <c r="D37" s="110" t="s">
        <v>567</v>
      </c>
      <c r="E37" s="109" t="s">
        <v>79</v>
      </c>
      <c r="F37" s="111" t="s">
        <v>9</v>
      </c>
      <c r="G37" s="112" t="s">
        <v>10</v>
      </c>
      <c r="H37" s="112" t="s">
        <v>541</v>
      </c>
      <c r="I37" s="112" t="s">
        <v>54</v>
      </c>
      <c r="J37" s="112" t="s">
        <v>265</v>
      </c>
      <c r="K37" s="224"/>
      <c r="L37" s="228"/>
      <c r="M37" s="221"/>
      <c r="N37" s="124">
        <v>18</v>
      </c>
      <c r="O37" s="124">
        <v>13.3</v>
      </c>
      <c r="P37" s="124">
        <v>23.3</v>
      </c>
      <c r="Q37" s="123">
        <v>13.2</v>
      </c>
      <c r="R37" s="411" t="s">
        <v>1270</v>
      </c>
      <c r="S37" s="127">
        <v>9.8000000000000007</v>
      </c>
      <c r="T37" s="124">
        <v>27</v>
      </c>
      <c r="U37" s="124">
        <v>13.6</v>
      </c>
      <c r="V37" s="124">
        <v>28.3</v>
      </c>
      <c r="W37" s="124">
        <v>31.3</v>
      </c>
      <c r="X37" s="124">
        <v>23.5</v>
      </c>
      <c r="Y37" s="426"/>
      <c r="Z37" s="424"/>
      <c r="AA37" s="424"/>
      <c r="AB37" s="425" t="s">
        <v>47</v>
      </c>
      <c r="AC37" s="432">
        <f>ROUND(23.1/3,1)</f>
        <v>7.7</v>
      </c>
      <c r="AD37" s="432">
        <f>ROUND(23.1/3,1)</f>
        <v>7.7</v>
      </c>
      <c r="AE37" s="432">
        <f>ROUND(23.1/3,1)</f>
        <v>7.7</v>
      </c>
      <c r="AF37" s="432">
        <f>ROUND(23.7/3,1)</f>
        <v>7.9</v>
      </c>
      <c r="AG37" s="432">
        <f>ROUND(23.7/3,1)</f>
        <v>7.9</v>
      </c>
      <c r="AH37" s="432">
        <f>ROUND(23.7/3,1)</f>
        <v>7.9</v>
      </c>
      <c r="AI37" s="432">
        <f>ROUND(16/3,1)</f>
        <v>5.3</v>
      </c>
      <c r="AJ37" s="432">
        <f>ROUND(16/3,1)</f>
        <v>5.3</v>
      </c>
      <c r="AK37" s="432">
        <f>ROUND(16/3,1)+0.1</f>
        <v>5.3999999999999995</v>
      </c>
      <c r="AL37" s="432">
        <f>ROUND(9.2/3,1)</f>
        <v>3.1</v>
      </c>
      <c r="AM37" s="432">
        <f>ROUND(9.2/3,1)</f>
        <v>3.1</v>
      </c>
      <c r="AN37" s="432">
        <f>ROUND(9.2/3,1)-0.1</f>
        <v>3</v>
      </c>
      <c r="AO37" s="122">
        <v>11.1</v>
      </c>
      <c r="AP37" s="432">
        <f>ROUND(11.8/3,1)</f>
        <v>3.9</v>
      </c>
      <c r="AQ37" s="432">
        <f>ROUND(11.8/3,1)</f>
        <v>3.9</v>
      </c>
      <c r="AR37" s="432">
        <f>ROUND(11.8/3,1)+0.1</f>
        <v>4</v>
      </c>
      <c r="AS37" s="432">
        <f>ROUND(12.6/6,1)</f>
        <v>2.1</v>
      </c>
      <c r="AT37" s="432">
        <f t="shared" ref="AT37:AX37" si="23">ROUND(12.6/6,1)</f>
        <v>2.1</v>
      </c>
      <c r="AU37" s="432">
        <f t="shared" si="23"/>
        <v>2.1</v>
      </c>
      <c r="AV37" s="432">
        <f t="shared" si="23"/>
        <v>2.1</v>
      </c>
      <c r="AW37" s="432">
        <f t="shared" si="23"/>
        <v>2.1</v>
      </c>
      <c r="AX37" s="432">
        <f t="shared" si="23"/>
        <v>2.1</v>
      </c>
      <c r="AY37" s="432">
        <f>ROUND(-1.9/5,1)</f>
        <v>-0.4</v>
      </c>
      <c r="AZ37" s="432">
        <f t="shared" ref="AZ37:BB37" si="24">ROUND(-1.9/5,1)</f>
        <v>-0.4</v>
      </c>
      <c r="BA37" s="432">
        <f t="shared" si="24"/>
        <v>-0.4</v>
      </c>
      <c r="BB37" s="432">
        <f t="shared" si="24"/>
        <v>-0.4</v>
      </c>
      <c r="BC37" s="432">
        <f>ROUND(-1.9/5,1)+0.1</f>
        <v>-0.30000000000000004</v>
      </c>
      <c r="BD37" s="125" t="s">
        <v>247</v>
      </c>
      <c r="BE37" s="142" t="s">
        <v>247</v>
      </c>
      <c r="BF37" s="379"/>
      <c r="BG37" s="368"/>
      <c r="BH37" s="335" t="str">
        <f ca="1">INDIRECT(ADDRESS(MATCH($B37,'【別紙1】標高（入力）'!$B:$B,0),'【別紙1】標高（入力）'!$N$2,4,TRUE,"【別紙1】標高（入力）"))</f>
        <v>R5</v>
      </c>
      <c r="BI37" s="342">
        <f ca="1">INDIRECT(ADDRESS(MATCH($B37,'【別紙1】標高（入力）'!$B:$B,0),'【別紙1】標高（入力）'!$O$2,4,TRUE,"【別紙1】標高（入力）"))</f>
        <v>2.2166000000000001</v>
      </c>
      <c r="BJ37" s="392"/>
    </row>
    <row r="38" spans="1:62" ht="15.95" customHeight="1">
      <c r="A38" s="119">
        <v>223</v>
      </c>
      <c r="B38" s="107" t="s">
        <v>593</v>
      </c>
      <c r="C38" s="114" t="s">
        <v>38</v>
      </c>
      <c r="D38" s="110" t="s">
        <v>568</v>
      </c>
      <c r="E38" s="109" t="s">
        <v>81</v>
      </c>
      <c r="F38" s="111" t="s">
        <v>9</v>
      </c>
      <c r="G38" s="112" t="s">
        <v>10</v>
      </c>
      <c r="H38" s="112" t="s">
        <v>541</v>
      </c>
      <c r="I38" s="112" t="s">
        <v>539</v>
      </c>
      <c r="J38" s="112" t="s">
        <v>270</v>
      </c>
      <c r="K38" s="224"/>
      <c r="L38" s="228"/>
      <c r="M38" s="221"/>
      <c r="N38" s="123">
        <v>6.1</v>
      </c>
      <c r="O38" s="415" t="s">
        <v>1270</v>
      </c>
      <c r="P38" s="413" t="s">
        <v>1270</v>
      </c>
      <c r="Q38" s="127">
        <v>26.1</v>
      </c>
      <c r="R38" s="124">
        <v>5.9</v>
      </c>
      <c r="S38" s="124">
        <v>-6</v>
      </c>
      <c r="T38" s="124">
        <v>12.8</v>
      </c>
      <c r="U38" s="124">
        <v>2.8</v>
      </c>
      <c r="V38" s="124">
        <v>16.600000000000001</v>
      </c>
      <c r="W38" s="124">
        <v>6.2</v>
      </c>
      <c r="X38" s="123">
        <v>1.6</v>
      </c>
      <c r="Y38" s="432">
        <f>ROUND(16.6/4,1)</f>
        <v>4.2</v>
      </c>
      <c r="Z38" s="432">
        <f>ROUND(16.6/4,1)</f>
        <v>4.2</v>
      </c>
      <c r="AA38" s="432">
        <f>ROUND(16.6/4,1)-0.1</f>
        <v>4.1000000000000005</v>
      </c>
      <c r="AB38" s="432">
        <f>ROUND(16.6/4,1)-0.1</f>
        <v>4.1000000000000005</v>
      </c>
      <c r="AC38" s="432">
        <f>ROUND(17.9/3,1)</f>
        <v>6</v>
      </c>
      <c r="AD38" s="432">
        <f>ROUND(17.9/3,1)</f>
        <v>6</v>
      </c>
      <c r="AE38" s="432">
        <f>ROUND(17.9/3,1)-0.1</f>
        <v>5.9</v>
      </c>
      <c r="AF38" s="432">
        <f>ROUND(16.2/3,1)</f>
        <v>5.4</v>
      </c>
      <c r="AG38" s="432">
        <f>ROUND(16.2/3,1)</f>
        <v>5.4</v>
      </c>
      <c r="AH38" s="432">
        <f>ROUND(16.2/3,1)</f>
        <v>5.4</v>
      </c>
      <c r="AI38" s="432">
        <f>ROUND(8.9/3,1)</f>
        <v>3</v>
      </c>
      <c r="AJ38" s="432">
        <f>ROUND(8.9/3,1)</f>
        <v>3</v>
      </c>
      <c r="AK38" s="432">
        <f>ROUND(8.9/3,1)-0.1</f>
        <v>2.9</v>
      </c>
      <c r="AL38" s="432">
        <f>ROUND(5.6/3,1)</f>
        <v>1.9</v>
      </c>
      <c r="AM38" s="432">
        <f>ROUND(5.6/3,1)</f>
        <v>1.9</v>
      </c>
      <c r="AN38" s="432">
        <f>ROUND(5.6/3,1)-0.1</f>
        <v>1.7999999999999998</v>
      </c>
      <c r="AO38" s="122">
        <v>11.2</v>
      </c>
      <c r="AP38" s="432">
        <f>ROUND(10.6/3,1)</f>
        <v>3.5</v>
      </c>
      <c r="AQ38" s="432">
        <f>ROUND(10.6/3,1)</f>
        <v>3.5</v>
      </c>
      <c r="AR38" s="432">
        <f>ROUND(10.6/3,1)+0.1</f>
        <v>3.6</v>
      </c>
      <c r="AS38" s="432">
        <f>ROUND(17.9/6,1)</f>
        <v>3</v>
      </c>
      <c r="AT38" s="432">
        <f t="shared" ref="AT38:AW38" si="25">ROUND(17.9/6,1)</f>
        <v>3</v>
      </c>
      <c r="AU38" s="432">
        <f t="shared" si="25"/>
        <v>3</v>
      </c>
      <c r="AV38" s="432">
        <f t="shared" si="25"/>
        <v>3</v>
      </c>
      <c r="AW38" s="432">
        <f t="shared" si="25"/>
        <v>3</v>
      </c>
      <c r="AX38" s="432">
        <f>ROUND(17.9/6,1)-0.1</f>
        <v>2.9</v>
      </c>
      <c r="AY38" s="432">
        <f>ROUND(-5.5/5,1)</f>
        <v>-1.1000000000000001</v>
      </c>
      <c r="AZ38" s="432">
        <f t="shared" ref="AZ38:BC38" si="26">ROUND(-5.5/5,1)</f>
        <v>-1.1000000000000001</v>
      </c>
      <c r="BA38" s="432">
        <f t="shared" si="26"/>
        <v>-1.1000000000000001</v>
      </c>
      <c r="BB38" s="432">
        <f t="shared" si="26"/>
        <v>-1.1000000000000001</v>
      </c>
      <c r="BC38" s="432">
        <f t="shared" si="26"/>
        <v>-1.1000000000000001</v>
      </c>
      <c r="BD38" s="125" t="s">
        <v>247</v>
      </c>
      <c r="BE38" s="142" t="s">
        <v>247</v>
      </c>
      <c r="BF38" s="379"/>
      <c r="BG38" s="368"/>
      <c r="BH38" s="335" t="str">
        <f ca="1">INDIRECT(ADDRESS(MATCH($B38,'【別紙1】標高（入力）'!$B:$B,0),'【別紙1】標高（入力）'!$N$2,4,TRUE,"【別紙1】標高（入力）"))</f>
        <v>R5</v>
      </c>
      <c r="BI38" s="342">
        <f ca="1">INDIRECT(ADDRESS(MATCH($B38,'【別紙1】標高（入力）'!$B:$B,0),'【別紙1】標高（入力）'!$O$2,4,TRUE,"【別紙1】標高（入力）"))</f>
        <v>1.9367000000000001</v>
      </c>
      <c r="BJ38" s="392"/>
    </row>
    <row r="39" spans="1:62" ht="15.95" customHeight="1">
      <c r="A39" s="119">
        <v>224</v>
      </c>
      <c r="B39" s="107" t="s">
        <v>426</v>
      </c>
      <c r="C39" s="114" t="s">
        <v>38</v>
      </c>
      <c r="D39" s="110" t="s">
        <v>715</v>
      </c>
      <c r="E39" s="109" t="s">
        <v>83</v>
      </c>
      <c r="F39" s="111" t="s">
        <v>9</v>
      </c>
      <c r="G39" s="112" t="s">
        <v>10</v>
      </c>
      <c r="H39" s="112" t="s">
        <v>541</v>
      </c>
      <c r="I39" s="112" t="s">
        <v>539</v>
      </c>
      <c r="J39" s="112" t="s">
        <v>270</v>
      </c>
      <c r="K39" s="224"/>
      <c r="L39" s="228"/>
      <c r="M39" s="221"/>
      <c r="N39" s="124">
        <v>38.4</v>
      </c>
      <c r="O39" s="124">
        <v>12.8</v>
      </c>
      <c r="P39" s="124">
        <v>4.3</v>
      </c>
      <c r="Q39" s="124">
        <v>10.8</v>
      </c>
      <c r="R39" s="124">
        <v>4.3</v>
      </c>
      <c r="S39" s="124">
        <v>2.9</v>
      </c>
      <c r="T39" s="124">
        <v>19.399999999999999</v>
      </c>
      <c r="U39" s="124">
        <v>-7.8</v>
      </c>
      <c r="V39" s="124">
        <v>15.4</v>
      </c>
      <c r="W39" s="124">
        <v>-2.6</v>
      </c>
      <c r="X39" s="123">
        <v>0.4</v>
      </c>
      <c r="Y39" s="432">
        <f>ROUND(16.8/4,1)</f>
        <v>4.2</v>
      </c>
      <c r="Z39" s="432">
        <f>ROUND(16.8/4,1)</f>
        <v>4.2</v>
      </c>
      <c r="AA39" s="432">
        <f>ROUND(16.8/4,1)</f>
        <v>4.2</v>
      </c>
      <c r="AB39" s="432">
        <f>ROUND(16.8/4,1)</f>
        <v>4.2</v>
      </c>
      <c r="AC39" s="432">
        <f>ROUND(13.3/3,1)</f>
        <v>4.4000000000000004</v>
      </c>
      <c r="AD39" s="432">
        <f>ROUND(13.3/3,1)</f>
        <v>4.4000000000000004</v>
      </c>
      <c r="AE39" s="432">
        <f>ROUND(13.3/3,1)+0.1</f>
        <v>4.5</v>
      </c>
      <c r="AF39" s="432">
        <f>ROUND(19.4/3,1)</f>
        <v>6.5</v>
      </c>
      <c r="AG39" s="432">
        <f>ROUND(19.4/3,1)</f>
        <v>6.5</v>
      </c>
      <c r="AH39" s="432">
        <f>ROUND(19.4/3,1)-0.1</f>
        <v>6.4</v>
      </c>
      <c r="AI39" s="432">
        <f>ROUND(33.9/7,1)</f>
        <v>4.8</v>
      </c>
      <c r="AJ39" s="432">
        <f t="shared" ref="AJ39:AL39" si="27">ROUND(33.9/7,1)</f>
        <v>4.8</v>
      </c>
      <c r="AK39" s="432">
        <f t="shared" si="27"/>
        <v>4.8</v>
      </c>
      <c r="AL39" s="432">
        <f t="shared" si="27"/>
        <v>4.8</v>
      </c>
      <c r="AM39" s="432">
        <f>ROUND(33.9/7,1)+0.1</f>
        <v>4.8999999999999995</v>
      </c>
      <c r="AN39" s="432">
        <f>ROUND(33.9/7,1)+0.1</f>
        <v>4.8999999999999995</v>
      </c>
      <c r="AO39" s="432">
        <f>ROUND(33.9/7,1)+0.1</f>
        <v>4.8999999999999995</v>
      </c>
      <c r="AP39" s="432">
        <f>ROUND(10.5/3,1)</f>
        <v>3.5</v>
      </c>
      <c r="AQ39" s="432">
        <f>ROUND(10.5/3,1)</f>
        <v>3.5</v>
      </c>
      <c r="AR39" s="432">
        <f>ROUND(10.5/3,1)</f>
        <v>3.5</v>
      </c>
      <c r="AS39" s="122">
        <v>0.5</v>
      </c>
      <c r="AT39" s="432">
        <f>ROUND(8.8/5,1)</f>
        <v>1.8</v>
      </c>
      <c r="AU39" s="432">
        <f t="shared" ref="AU39:AV39" si="28">ROUND(8.8/5,1)</f>
        <v>1.8</v>
      </c>
      <c r="AV39" s="432">
        <f t="shared" si="28"/>
        <v>1.8</v>
      </c>
      <c r="AW39" s="432">
        <f>ROUND(8.8/5,1)-0.1</f>
        <v>1.7</v>
      </c>
      <c r="AX39" s="432">
        <f>ROUND(8.8/5,1)-0.1</f>
        <v>1.7</v>
      </c>
      <c r="AY39" s="432">
        <f>ROUND(-5.8/2,1)</f>
        <v>-2.9</v>
      </c>
      <c r="AZ39" s="432">
        <f>ROUND(-5.8/2,1)</f>
        <v>-2.9</v>
      </c>
      <c r="BA39" s="432">
        <f>ROUND(0/3,1)</f>
        <v>0</v>
      </c>
      <c r="BB39" s="432">
        <f>ROUND(0/3,1)</f>
        <v>0</v>
      </c>
      <c r="BC39" s="432">
        <f>ROUND(0/3,1)</f>
        <v>0</v>
      </c>
      <c r="BD39" s="449">
        <f>ROUND(3.4/2,1)</f>
        <v>1.7</v>
      </c>
      <c r="BE39" s="451">
        <f>ROUND(3.4/2,1)</f>
        <v>1.7</v>
      </c>
      <c r="BF39" s="379"/>
      <c r="BG39" s="368"/>
      <c r="BH39" s="333" t="str">
        <f ca="1">INDIRECT(ADDRESS(MATCH($B39,'【別紙1】標高（入力）'!$B:$B,0),'【別紙1】標高（入力）'!$N$2,4,TRUE,"【別紙1】標高（入力）"))</f>
        <v>R5</v>
      </c>
      <c r="BI39" s="342">
        <f ca="1">INDIRECT(ADDRESS(MATCH($B39,'【別紙1】標高（入力）'!$B:$B,0),'【別紙1】標高（入力）'!$O$2,4,TRUE,"【別紙1】標高（入力）"))</f>
        <v>3.7437</v>
      </c>
      <c r="BJ39" s="392"/>
    </row>
    <row r="40" spans="1:62" ht="15.95" customHeight="1">
      <c r="A40" s="119">
        <v>225</v>
      </c>
      <c r="B40" s="107" t="s">
        <v>427</v>
      </c>
      <c r="C40" s="114" t="s">
        <v>38</v>
      </c>
      <c r="D40" s="110" t="s">
        <v>322</v>
      </c>
      <c r="E40" s="109" t="s">
        <v>272</v>
      </c>
      <c r="F40" s="111" t="s">
        <v>9</v>
      </c>
      <c r="G40" s="112" t="s">
        <v>10</v>
      </c>
      <c r="H40" s="112" t="s">
        <v>541</v>
      </c>
      <c r="I40" s="112" t="s">
        <v>539</v>
      </c>
      <c r="J40" s="112" t="s">
        <v>270</v>
      </c>
      <c r="K40" s="224"/>
      <c r="L40" s="228"/>
      <c r="M40" s="221"/>
      <c r="N40" s="124">
        <v>32.700000000000003</v>
      </c>
      <c r="O40" s="124">
        <v>11</v>
      </c>
      <c r="P40" s="124">
        <v>16.600000000000001</v>
      </c>
      <c r="Q40" s="124">
        <v>16.399999999999999</v>
      </c>
      <c r="R40" s="124">
        <v>5.3</v>
      </c>
      <c r="S40" s="124">
        <v>6.5</v>
      </c>
      <c r="T40" s="124">
        <v>26</v>
      </c>
      <c r="U40" s="124">
        <v>-1.4</v>
      </c>
      <c r="V40" s="124">
        <v>26.1</v>
      </c>
      <c r="W40" s="124">
        <v>47.4</v>
      </c>
      <c r="X40" s="123">
        <v>28.2</v>
      </c>
      <c r="Y40" s="432">
        <f>ROUND(16.3/4,1)</f>
        <v>4.0999999999999996</v>
      </c>
      <c r="Z40" s="432">
        <f>ROUND(16.3/4,1)</f>
        <v>4.0999999999999996</v>
      </c>
      <c r="AA40" s="432">
        <f>ROUND(16.3/4,1)</f>
        <v>4.0999999999999996</v>
      </c>
      <c r="AB40" s="432">
        <f>ROUND(16.3/4,1)-0.1</f>
        <v>3.9999999999999996</v>
      </c>
      <c r="AC40" s="432">
        <f>ROUND(11/3,1)</f>
        <v>3.7</v>
      </c>
      <c r="AD40" s="432">
        <f>ROUND(11/3,1)</f>
        <v>3.7</v>
      </c>
      <c r="AE40" s="432">
        <f>ROUND(11/3,1)-0.1</f>
        <v>3.6</v>
      </c>
      <c r="AF40" s="432">
        <f>ROUND(15.2/3,1)</f>
        <v>5.0999999999999996</v>
      </c>
      <c r="AG40" s="432">
        <f>ROUND(15.2/3,1)</f>
        <v>5.0999999999999996</v>
      </c>
      <c r="AH40" s="432">
        <f>ROUND(15.2/3,1)-0.1</f>
        <v>5</v>
      </c>
      <c r="AI40" s="432">
        <f>ROUND(18.3/7,1)</f>
        <v>2.6</v>
      </c>
      <c r="AJ40" s="432">
        <f t="shared" ref="AJ40:AN40" si="29">ROUND(18.3/7,1)</f>
        <v>2.6</v>
      </c>
      <c r="AK40" s="432">
        <f t="shared" si="29"/>
        <v>2.6</v>
      </c>
      <c r="AL40" s="432">
        <f t="shared" si="29"/>
        <v>2.6</v>
      </c>
      <c r="AM40" s="432">
        <f t="shared" si="29"/>
        <v>2.6</v>
      </c>
      <c r="AN40" s="432">
        <f t="shared" si="29"/>
        <v>2.6</v>
      </c>
      <c r="AO40" s="432">
        <f>ROUND(18.3/7,1)+0.1</f>
        <v>2.7</v>
      </c>
      <c r="AP40" s="432">
        <f>ROUND(7.2/3,1)</f>
        <v>2.4</v>
      </c>
      <c r="AQ40" s="432">
        <f>ROUND(7.2/3,1)</f>
        <v>2.4</v>
      </c>
      <c r="AR40" s="432">
        <f>ROUND(7.2/3,1)</f>
        <v>2.4</v>
      </c>
      <c r="AS40" s="122">
        <v>1</v>
      </c>
      <c r="AT40" s="432">
        <f>ROUND(7.7/5,1)</f>
        <v>1.5</v>
      </c>
      <c r="AU40" s="432">
        <f t="shared" ref="AU40:AV40" si="30">ROUND(7.7/5,1)</f>
        <v>1.5</v>
      </c>
      <c r="AV40" s="432">
        <f t="shared" si="30"/>
        <v>1.5</v>
      </c>
      <c r="AW40" s="432">
        <f>ROUND(7.7/5,1)+0.1</f>
        <v>1.6</v>
      </c>
      <c r="AX40" s="432">
        <f>ROUND(7.7/5,1)+0.1</f>
        <v>1.6</v>
      </c>
      <c r="AY40" s="432">
        <f>ROUND(-4.9/2,1)</f>
        <v>-2.5</v>
      </c>
      <c r="AZ40" s="432">
        <f>ROUND(-4.9/2,1)+0.1</f>
        <v>-2.4</v>
      </c>
      <c r="BA40" s="432">
        <f>ROUND(2.2/3,1)</f>
        <v>0.7</v>
      </c>
      <c r="BB40" s="432">
        <f>ROUND(2.2/3,1)</f>
        <v>0.7</v>
      </c>
      <c r="BC40" s="432">
        <f>ROUND(2.2/3,1)+0.1</f>
        <v>0.79999999999999993</v>
      </c>
      <c r="BD40" s="449">
        <f>ROUND(5.5/2,1)</f>
        <v>2.8</v>
      </c>
      <c r="BE40" s="451">
        <f>ROUND(5.5/2,1)-0.1</f>
        <v>2.6999999999999997</v>
      </c>
      <c r="BF40" s="379"/>
      <c r="BG40" s="368"/>
      <c r="BH40" s="333" t="str">
        <f ca="1">INDIRECT(ADDRESS(MATCH($B40,'【別紙1】標高（入力）'!$B:$B,0),'【別紙1】標高（入力）'!$N$2,4,TRUE,"【別紙1】標高（入力）"))</f>
        <v>R5</v>
      </c>
      <c r="BI40" s="342">
        <f ca="1">INDIRECT(ADDRESS(MATCH($B40,'【別紙1】標高（入力）'!$B:$B,0),'【別紙1】標高（入力）'!$O$2,4,TRUE,"【別紙1】標高（入力）"))</f>
        <v>3.5232000000000001</v>
      </c>
      <c r="BJ40" s="392"/>
    </row>
    <row r="41" spans="1:62" ht="15.95" customHeight="1">
      <c r="A41" s="119">
        <v>226</v>
      </c>
      <c r="B41" s="107" t="s">
        <v>428</v>
      </c>
      <c r="C41" s="114" t="s">
        <v>38</v>
      </c>
      <c r="D41" s="110" t="s">
        <v>322</v>
      </c>
      <c r="E41" s="109" t="s">
        <v>346</v>
      </c>
      <c r="F41" s="111" t="s">
        <v>9</v>
      </c>
      <c r="G41" s="112" t="s">
        <v>10</v>
      </c>
      <c r="H41" s="112" t="s">
        <v>64</v>
      </c>
      <c r="I41" s="112" t="s">
        <v>539</v>
      </c>
      <c r="J41" s="112" t="s">
        <v>270</v>
      </c>
      <c r="K41" s="224"/>
      <c r="L41" s="228"/>
      <c r="M41" s="221"/>
      <c r="N41" s="123">
        <v>8.5</v>
      </c>
      <c r="O41" s="432">
        <f>ROUND(9.9/2,1)</f>
        <v>5</v>
      </c>
      <c r="P41" s="432">
        <f>ROUND(9.9/2,1)-0.1</f>
        <v>4.9000000000000004</v>
      </c>
      <c r="Q41" s="127">
        <v>19.2</v>
      </c>
      <c r="R41" s="124">
        <v>-3.4</v>
      </c>
      <c r="S41" s="124">
        <v>-5.0999999999999996</v>
      </c>
      <c r="T41" s="124">
        <v>13.7</v>
      </c>
      <c r="U41" s="406">
        <v>-6.9</v>
      </c>
      <c r="V41" s="406">
        <v>20.399999999999999</v>
      </c>
      <c r="W41" s="406">
        <v>18.8</v>
      </c>
      <c r="X41" s="420">
        <v>8.4</v>
      </c>
      <c r="Y41" s="432">
        <f>ROUND(-0.4/4,1)</f>
        <v>-0.1</v>
      </c>
      <c r="Z41" s="432">
        <f>ROUND(-0.4/4,1)</f>
        <v>-0.1</v>
      </c>
      <c r="AA41" s="432">
        <f>ROUND(-0.4/4,1)</f>
        <v>-0.1</v>
      </c>
      <c r="AB41" s="432">
        <f>ROUND(-0.4/4,1)</f>
        <v>-0.1</v>
      </c>
      <c r="AC41" s="432">
        <f>ROUND(2.8/3,1)</f>
        <v>0.9</v>
      </c>
      <c r="AD41" s="432">
        <f>ROUND(2.8/3,1)</f>
        <v>0.9</v>
      </c>
      <c r="AE41" s="432">
        <f>ROUND(2.8/3,1)+0.1</f>
        <v>1</v>
      </c>
      <c r="AF41" s="432">
        <f>ROUND(11.7/3,1)</f>
        <v>3.9</v>
      </c>
      <c r="AG41" s="432">
        <f>ROUND(11.7/3,1)</f>
        <v>3.9</v>
      </c>
      <c r="AH41" s="432">
        <f>ROUND(11.7/3,1)</f>
        <v>3.9</v>
      </c>
      <c r="AI41" s="432">
        <f>ROUND(16.5/7,1)</f>
        <v>2.4</v>
      </c>
      <c r="AJ41" s="432">
        <f t="shared" ref="AJ41:AL41" si="31">ROUND(16.5/7,1)</f>
        <v>2.4</v>
      </c>
      <c r="AK41" s="432">
        <f t="shared" si="31"/>
        <v>2.4</v>
      </c>
      <c r="AL41" s="432">
        <f t="shared" si="31"/>
        <v>2.4</v>
      </c>
      <c r="AM41" s="432">
        <f>ROUND(16.5/7,1)-0.1</f>
        <v>2.2999999999999998</v>
      </c>
      <c r="AN41" s="432">
        <f>ROUND(16.5/7,1)-0.1</f>
        <v>2.2999999999999998</v>
      </c>
      <c r="AO41" s="432">
        <f>ROUND(16.5/7,1)-0.1</f>
        <v>2.2999999999999998</v>
      </c>
      <c r="AP41" s="432">
        <f>ROUND(5.6/3,1)</f>
        <v>1.9</v>
      </c>
      <c r="AQ41" s="432">
        <f>ROUND(5.6/3,1)</f>
        <v>1.9</v>
      </c>
      <c r="AR41" s="432">
        <f>ROUND(5.6/3,1)-0.1</f>
        <v>1.7999999999999998</v>
      </c>
      <c r="AS41" s="432">
        <f>ROUND(6.5/6,1)</f>
        <v>1.1000000000000001</v>
      </c>
      <c r="AT41" s="432">
        <f t="shared" ref="AT41:AW41" si="32">ROUND(6.5/6,1)</f>
        <v>1.1000000000000001</v>
      </c>
      <c r="AU41" s="432">
        <f t="shared" si="32"/>
        <v>1.1000000000000001</v>
      </c>
      <c r="AV41" s="432">
        <f t="shared" si="32"/>
        <v>1.1000000000000001</v>
      </c>
      <c r="AW41" s="432">
        <f t="shared" si="32"/>
        <v>1.1000000000000001</v>
      </c>
      <c r="AX41" s="432">
        <f>ROUND(6.5/6,1)-0.1</f>
        <v>1</v>
      </c>
      <c r="AY41" s="432">
        <f>ROUND(0.5/5,1)</f>
        <v>0.1</v>
      </c>
      <c r="AZ41" s="432">
        <f t="shared" ref="AZ41:BC41" si="33">ROUND(0.5/5,1)</f>
        <v>0.1</v>
      </c>
      <c r="BA41" s="432">
        <f t="shared" si="33"/>
        <v>0.1</v>
      </c>
      <c r="BB41" s="432">
        <f t="shared" si="33"/>
        <v>0.1</v>
      </c>
      <c r="BC41" s="432">
        <f t="shared" si="33"/>
        <v>0.1</v>
      </c>
      <c r="BD41" s="125" t="s">
        <v>247</v>
      </c>
      <c r="BE41" s="142" t="s">
        <v>247</v>
      </c>
      <c r="BF41" s="379"/>
      <c r="BG41" s="368"/>
      <c r="BH41" s="335" t="str">
        <f ca="1">INDIRECT(ADDRESS(MATCH($B41,'【別紙1】標高（入力）'!$B:$B,0),'【別紙1】標高（入力）'!$N$2,4,TRUE,"【別紙1】標高（入力）"))</f>
        <v>R5</v>
      </c>
      <c r="BI41" s="342">
        <f ca="1">INDIRECT(ADDRESS(MATCH($B41,'【別紙1】標高（入力）'!$B:$B,0),'【別紙1】標高（入力）'!$O$2,4,TRUE,"【別紙1】標高（入力）"))</f>
        <v>5.3735999999999997</v>
      </c>
      <c r="BJ41" s="392"/>
    </row>
    <row r="42" spans="1:62" ht="15.95" customHeight="1">
      <c r="A42" s="119">
        <v>227</v>
      </c>
      <c r="B42" s="107" t="s">
        <v>429</v>
      </c>
      <c r="C42" s="114" t="s">
        <v>38</v>
      </c>
      <c r="D42" s="110" t="s">
        <v>323</v>
      </c>
      <c r="E42" s="109" t="s">
        <v>85</v>
      </c>
      <c r="F42" s="111" t="s">
        <v>9</v>
      </c>
      <c r="G42" s="112" t="s">
        <v>73</v>
      </c>
      <c r="H42" s="112" t="s">
        <v>64</v>
      </c>
      <c r="I42" s="112" t="s">
        <v>539</v>
      </c>
      <c r="J42" s="112" t="s">
        <v>270</v>
      </c>
      <c r="K42" s="224"/>
      <c r="L42" s="228"/>
      <c r="M42" s="228"/>
      <c r="N42" s="228"/>
      <c r="O42" s="432">
        <f>ROUND(6.6/2,1)</f>
        <v>3.3</v>
      </c>
      <c r="P42" s="432">
        <f>ROUND(6.6/2,1)</f>
        <v>3.3</v>
      </c>
      <c r="Q42" s="127">
        <v>3.5</v>
      </c>
      <c r="R42" s="124">
        <v>3.1</v>
      </c>
      <c r="S42" s="124">
        <v>-4</v>
      </c>
      <c r="T42" s="123">
        <v>4.5</v>
      </c>
      <c r="U42" s="432">
        <f>ROUND(0/2,1)</f>
        <v>0</v>
      </c>
      <c r="V42" s="432">
        <f>ROUND(0/2,1)</f>
        <v>0</v>
      </c>
      <c r="W42" s="432">
        <f>ROUND(-1/6,1)</f>
        <v>-0.2</v>
      </c>
      <c r="X42" s="432">
        <f>ROUND(-1/6,1)</f>
        <v>-0.2</v>
      </c>
      <c r="Y42" s="432">
        <f>ROUND(-1/6,1)</f>
        <v>-0.2</v>
      </c>
      <c r="Z42" s="432">
        <f>ROUND(-1/6,1)</f>
        <v>-0.2</v>
      </c>
      <c r="AA42" s="432">
        <f>ROUND(-1/6,1)+0.1</f>
        <v>-0.1</v>
      </c>
      <c r="AB42" s="432">
        <f>ROUND(-1/6,1)+0.1</f>
        <v>-0.1</v>
      </c>
      <c r="AC42" s="432">
        <f>ROUND(0.7/3,1)</f>
        <v>0.2</v>
      </c>
      <c r="AD42" s="432">
        <f>ROUND(0.7/3,1)</f>
        <v>0.2</v>
      </c>
      <c r="AE42" s="432">
        <f>ROUND(0.7/3,1)+0.1</f>
        <v>0.30000000000000004</v>
      </c>
      <c r="AF42" s="432">
        <f>ROUND(2.3/3,1)</f>
        <v>0.8</v>
      </c>
      <c r="AG42" s="432">
        <f>ROUND(2.3/3,1)</f>
        <v>0.8</v>
      </c>
      <c r="AH42" s="432">
        <f>ROUND(2.3/3,1)-0.1</f>
        <v>0.70000000000000007</v>
      </c>
      <c r="AI42" s="432">
        <f>ROUND(9.2/7,1)</f>
        <v>1.3</v>
      </c>
      <c r="AJ42" s="432">
        <f t="shared" ref="AJ42:AN42" si="34">ROUND(9.2/7,1)</f>
        <v>1.3</v>
      </c>
      <c r="AK42" s="432">
        <f t="shared" si="34"/>
        <v>1.3</v>
      </c>
      <c r="AL42" s="432">
        <f t="shared" si="34"/>
        <v>1.3</v>
      </c>
      <c r="AM42" s="432">
        <f t="shared" si="34"/>
        <v>1.3</v>
      </c>
      <c r="AN42" s="432">
        <f t="shared" si="34"/>
        <v>1.3</v>
      </c>
      <c r="AO42" s="432">
        <f>ROUND(9.2/7,1)+0.1</f>
        <v>1.4000000000000001</v>
      </c>
      <c r="AP42" s="432">
        <f>ROUND(1.4/3,1)</f>
        <v>0.5</v>
      </c>
      <c r="AQ42" s="432">
        <f>ROUND(1.4/3,1)</f>
        <v>0.5</v>
      </c>
      <c r="AR42" s="432">
        <f>ROUND(1.4/3,1)-0.1</f>
        <v>0.4</v>
      </c>
      <c r="AS42" s="432">
        <f>ROUND(5.1/6,1)</f>
        <v>0.9</v>
      </c>
      <c r="AT42" s="432">
        <f t="shared" ref="AT42:AU42" si="35">ROUND(5.1/6,1)</f>
        <v>0.9</v>
      </c>
      <c r="AU42" s="432">
        <f t="shared" si="35"/>
        <v>0.9</v>
      </c>
      <c r="AV42" s="432">
        <f>ROUND(5.1/6,1)-0.1</f>
        <v>0.8</v>
      </c>
      <c r="AW42" s="432">
        <f>ROUND(5.1/6,1)-0.1</f>
        <v>0.8</v>
      </c>
      <c r="AX42" s="432">
        <f>ROUND(5.1/6,1)-0.1</f>
        <v>0.8</v>
      </c>
      <c r="AY42" s="432">
        <f>ROUND(2.5/5,1)</f>
        <v>0.5</v>
      </c>
      <c r="AZ42" s="432">
        <f t="shared" ref="AZ42:BC43" si="36">ROUND(2.5/5,1)</f>
        <v>0.5</v>
      </c>
      <c r="BA42" s="432">
        <f t="shared" si="36"/>
        <v>0.5</v>
      </c>
      <c r="BB42" s="432">
        <f t="shared" si="36"/>
        <v>0.5</v>
      </c>
      <c r="BC42" s="432">
        <f t="shared" si="36"/>
        <v>0.5</v>
      </c>
      <c r="BD42" s="125" t="s">
        <v>247</v>
      </c>
      <c r="BE42" s="142" t="s">
        <v>247</v>
      </c>
      <c r="BF42" s="379"/>
      <c r="BG42" s="368"/>
      <c r="BH42" s="335" t="str">
        <f ca="1">INDIRECT(ADDRESS(MATCH($B42,'【別紙1】標高（入力）'!$B:$B,0),'【別紙1】標高（入力）'!$N$2,4,TRUE,"【別紙1】標高（入力）"))</f>
        <v>H29</v>
      </c>
      <c r="BI42" s="342">
        <f ca="1">INDIRECT(ADDRESS(MATCH($B42,'【別紙1】標高（入力）'!$B:$B,0),'【別紙1】標高（入力）'!$O$2,4,TRUE,"【別紙1】標高（入力）"))</f>
        <v>2.3431999999999999</v>
      </c>
      <c r="BJ42" s="392"/>
    </row>
    <row r="43" spans="1:62" ht="15.95" customHeight="1">
      <c r="A43" s="119">
        <v>228</v>
      </c>
      <c r="B43" s="107" t="s">
        <v>430</v>
      </c>
      <c r="C43" s="114" t="s">
        <v>38</v>
      </c>
      <c r="D43" s="110" t="s">
        <v>654</v>
      </c>
      <c r="E43" s="109" t="s">
        <v>258</v>
      </c>
      <c r="F43" s="111" t="s">
        <v>9</v>
      </c>
      <c r="G43" s="112" t="s">
        <v>73</v>
      </c>
      <c r="H43" s="112" t="s">
        <v>541</v>
      </c>
      <c r="I43" s="112" t="s">
        <v>54</v>
      </c>
      <c r="J43" s="112" t="s">
        <v>270</v>
      </c>
      <c r="K43" s="224"/>
      <c r="L43" s="228"/>
      <c r="M43" s="228"/>
      <c r="N43" s="228"/>
      <c r="O43" s="432">
        <f>ROUND(12/2,1)</f>
        <v>6</v>
      </c>
      <c r="P43" s="432">
        <f>ROUND(12/2,1)</f>
        <v>6</v>
      </c>
      <c r="Q43" s="127">
        <v>4.4000000000000004</v>
      </c>
      <c r="R43" s="124">
        <v>3.4</v>
      </c>
      <c r="S43" s="124">
        <v>-3.3</v>
      </c>
      <c r="T43" s="224"/>
      <c r="U43" s="228"/>
      <c r="V43" s="411" t="s">
        <v>47</v>
      </c>
      <c r="W43" s="405" t="s">
        <v>87</v>
      </c>
      <c r="X43" s="224"/>
      <c r="Y43" s="228"/>
      <c r="Z43" s="228"/>
      <c r="AA43" s="228"/>
      <c r="AB43" s="227" t="s">
        <v>47</v>
      </c>
      <c r="AC43" s="432">
        <f>ROUND(2.5/3,1)</f>
        <v>0.8</v>
      </c>
      <c r="AD43" s="432">
        <f>ROUND(2.5/3,1)</f>
        <v>0.8</v>
      </c>
      <c r="AE43" s="432">
        <f>ROUND(2.5/3,1)+0.1</f>
        <v>0.9</v>
      </c>
      <c r="AF43" s="432">
        <f>ROUND(2.9/3,1)</f>
        <v>1</v>
      </c>
      <c r="AG43" s="432">
        <f>ROUND(2.9/3,1)</f>
        <v>1</v>
      </c>
      <c r="AH43" s="432">
        <f>ROUND(2.9/3,1)-0.1</f>
        <v>0.9</v>
      </c>
      <c r="AI43" s="432">
        <f>ROUND(12.4/7,1)</f>
        <v>1.8</v>
      </c>
      <c r="AJ43" s="432">
        <f t="shared" ref="AJ43:AM43" si="37">ROUND(12.4/7,1)</f>
        <v>1.8</v>
      </c>
      <c r="AK43" s="432">
        <f t="shared" si="37"/>
        <v>1.8</v>
      </c>
      <c r="AL43" s="432">
        <f t="shared" si="37"/>
        <v>1.8</v>
      </c>
      <c r="AM43" s="432">
        <f t="shared" si="37"/>
        <v>1.8</v>
      </c>
      <c r="AN43" s="432">
        <f>ROUND(12.4/7,1)-0.1</f>
        <v>1.7</v>
      </c>
      <c r="AO43" s="432">
        <f>ROUND(12.4/7,1)-0.1</f>
        <v>1.7</v>
      </c>
      <c r="AP43" s="432">
        <f>ROUND(7.3/3,1)</f>
        <v>2.4</v>
      </c>
      <c r="AQ43" s="432">
        <f>ROUND(7.3/3,1)</f>
        <v>2.4</v>
      </c>
      <c r="AR43" s="432">
        <f>ROUND(7.3/3,1)+0.1</f>
        <v>2.5</v>
      </c>
      <c r="AS43" s="432">
        <f>ROUND(5.9/6,1)</f>
        <v>1</v>
      </c>
      <c r="AT43" s="432">
        <f t="shared" ref="AT43:AW43" si="38">ROUND(5.9/6,1)</f>
        <v>1</v>
      </c>
      <c r="AU43" s="432">
        <f t="shared" si="38"/>
        <v>1</v>
      </c>
      <c r="AV43" s="432">
        <f t="shared" si="38"/>
        <v>1</v>
      </c>
      <c r="AW43" s="432">
        <f t="shared" si="38"/>
        <v>1</v>
      </c>
      <c r="AX43" s="432">
        <f>ROUND(5.9/6,1)-0.1</f>
        <v>0.9</v>
      </c>
      <c r="AY43" s="432">
        <f>ROUND(2.5/5,1)</f>
        <v>0.5</v>
      </c>
      <c r="AZ43" s="432">
        <f t="shared" si="36"/>
        <v>0.5</v>
      </c>
      <c r="BA43" s="432">
        <f t="shared" si="36"/>
        <v>0.5</v>
      </c>
      <c r="BB43" s="432">
        <f t="shared" si="36"/>
        <v>0.5</v>
      </c>
      <c r="BC43" s="432">
        <f t="shared" si="36"/>
        <v>0.5</v>
      </c>
      <c r="BD43" s="125" t="s">
        <v>247</v>
      </c>
      <c r="BE43" s="142" t="s">
        <v>247</v>
      </c>
      <c r="BF43" s="379"/>
      <c r="BG43" s="368"/>
      <c r="BH43" s="335" t="str">
        <f ca="1">INDIRECT(ADDRESS(MATCH($B43,'【別紙1】標高（入力）'!$B:$B,0),'【別紙1】標高（入力）'!$N$2,4,TRUE,"【別紙1】標高（入力）"))</f>
        <v>H29</v>
      </c>
      <c r="BI43" s="342">
        <f ca="1">INDIRECT(ADDRESS(MATCH($B43,'【別紙1】標高（入力）'!$B:$B,0),'【別紙1】標高（入力）'!$O$2,4,TRUE,"【別紙1】標高（入力）"))</f>
        <v>3.8801000000000001</v>
      </c>
      <c r="BJ43" s="392"/>
    </row>
    <row r="44" spans="1:62" ht="15.95" customHeight="1">
      <c r="A44" s="119">
        <v>229</v>
      </c>
      <c r="B44" s="107" t="s">
        <v>431</v>
      </c>
      <c r="C44" s="114" t="s">
        <v>38</v>
      </c>
      <c r="D44" s="110" t="s">
        <v>682</v>
      </c>
      <c r="E44" s="109" t="s">
        <v>89</v>
      </c>
      <c r="F44" s="111" t="s">
        <v>9</v>
      </c>
      <c r="G44" s="112" t="s">
        <v>73</v>
      </c>
      <c r="H44" s="112" t="s">
        <v>541</v>
      </c>
      <c r="I44" s="112" t="s">
        <v>54</v>
      </c>
      <c r="J44" s="112" t="s">
        <v>270</v>
      </c>
      <c r="K44" s="224"/>
      <c r="L44" s="228"/>
      <c r="M44" s="228"/>
      <c r="N44" s="228"/>
      <c r="O44" s="432">
        <f>ROUND(14.7/2,1)</f>
        <v>7.4</v>
      </c>
      <c r="P44" s="432">
        <f>ROUND(14.7/2,1)-0.1</f>
        <v>7.3000000000000007</v>
      </c>
      <c r="Q44" s="127">
        <v>19.5</v>
      </c>
      <c r="R44" s="124">
        <v>7.9</v>
      </c>
      <c r="S44" s="124">
        <v>0.4</v>
      </c>
      <c r="T44" s="124">
        <v>39</v>
      </c>
      <c r="U44" s="224"/>
      <c r="V44" s="411" t="s">
        <v>47</v>
      </c>
      <c r="W44" s="427" t="s">
        <v>87</v>
      </c>
      <c r="X44" s="426"/>
      <c r="Y44" s="424"/>
      <c r="Z44" s="424"/>
      <c r="AA44" s="424"/>
      <c r="AB44" s="425" t="s">
        <v>47</v>
      </c>
      <c r="AC44" s="432">
        <f>ROUND(13.2/3,1)</f>
        <v>4.4000000000000004</v>
      </c>
      <c r="AD44" s="432">
        <f>ROUND(13.2/3,1)</f>
        <v>4.4000000000000004</v>
      </c>
      <c r="AE44" s="432">
        <f>ROUND(13.2/3,1)</f>
        <v>4.4000000000000004</v>
      </c>
      <c r="AF44" s="432">
        <f>ROUND(12.5/3,1)</f>
        <v>4.2</v>
      </c>
      <c r="AG44" s="432">
        <f>ROUND(12.5/3,1)</f>
        <v>4.2</v>
      </c>
      <c r="AH44" s="432">
        <f>ROUND(12.5/3,1)-0.1</f>
        <v>4.1000000000000005</v>
      </c>
      <c r="AI44" s="432">
        <f>ROUND(27.7/7,1)</f>
        <v>4</v>
      </c>
      <c r="AJ44" s="432">
        <f t="shared" ref="AJ44:AL44" si="39">ROUND(27.7/7,1)</f>
        <v>4</v>
      </c>
      <c r="AK44" s="432">
        <f t="shared" si="39"/>
        <v>4</v>
      </c>
      <c r="AL44" s="432">
        <f t="shared" si="39"/>
        <v>4</v>
      </c>
      <c r="AM44" s="432">
        <f>ROUND(27.7/7,1)-0.1</f>
        <v>3.9</v>
      </c>
      <c r="AN44" s="432">
        <f>ROUND(27.7/7,1)-0.1</f>
        <v>3.9</v>
      </c>
      <c r="AO44" s="432">
        <f>ROUND(27.7/7,1)-0.1</f>
        <v>3.9</v>
      </c>
      <c r="AP44" s="432">
        <f>ROUND(4.8/3,1)</f>
        <v>1.6</v>
      </c>
      <c r="AQ44" s="432">
        <f>ROUND(4.8/3,1)</f>
        <v>1.6</v>
      </c>
      <c r="AR44" s="432">
        <f>ROUND(4.8/3,1)</f>
        <v>1.6</v>
      </c>
      <c r="AS44" s="432">
        <f>ROUND(9.7/6,1)</f>
        <v>1.6</v>
      </c>
      <c r="AT44" s="432">
        <f t="shared" ref="AT44:AW44" si="40">ROUND(9.7/6,1)</f>
        <v>1.6</v>
      </c>
      <c r="AU44" s="432">
        <f t="shared" si="40"/>
        <v>1.6</v>
      </c>
      <c r="AV44" s="432">
        <f t="shared" si="40"/>
        <v>1.6</v>
      </c>
      <c r="AW44" s="432">
        <f t="shared" si="40"/>
        <v>1.6</v>
      </c>
      <c r="AX44" s="432">
        <f>ROUND(9.7/6,1)+0.1</f>
        <v>1.7000000000000002</v>
      </c>
      <c r="AY44" s="432">
        <f>ROUND(7.4/5,1)</f>
        <v>1.5</v>
      </c>
      <c r="AZ44" s="432">
        <f t="shared" ref="AZ44:BB44" si="41">ROUND(7.4/5,1)</f>
        <v>1.5</v>
      </c>
      <c r="BA44" s="432">
        <f t="shared" si="41"/>
        <v>1.5</v>
      </c>
      <c r="BB44" s="432">
        <f t="shared" si="41"/>
        <v>1.5</v>
      </c>
      <c r="BC44" s="432">
        <f>ROUND(7.4/5,1)-0.1</f>
        <v>1.4</v>
      </c>
      <c r="BD44" s="125" t="s">
        <v>247</v>
      </c>
      <c r="BE44" s="142" t="s">
        <v>247</v>
      </c>
      <c r="BF44" s="379"/>
      <c r="BG44" s="368"/>
      <c r="BH44" s="335" t="str">
        <f ca="1">INDIRECT(ADDRESS(MATCH($B44,'【別紙1】標高（入力）'!$B:$B,0),'【別紙1】標高（入力）'!$N$2,4,TRUE,"【別紙1】標高（入力）"))</f>
        <v>H29</v>
      </c>
      <c r="BI44" s="342">
        <f ca="1">INDIRECT(ADDRESS(MATCH($B44,'【別紙1】標高（入力）'!$B:$B,0),'【別紙1】標高（入力）'!$O$2,4,TRUE,"【別紙1】標高（入力）"))</f>
        <v>4.8811999999999998</v>
      </c>
      <c r="BJ44" s="392"/>
    </row>
    <row r="45" spans="1:62" ht="15.95" customHeight="1">
      <c r="A45" s="119">
        <v>230</v>
      </c>
      <c r="B45" s="107" t="s">
        <v>432</v>
      </c>
      <c r="C45" s="114" t="s">
        <v>38</v>
      </c>
      <c r="D45" s="110" t="s">
        <v>683</v>
      </c>
      <c r="E45" s="109" t="s">
        <v>91</v>
      </c>
      <c r="F45" s="111" t="s">
        <v>9</v>
      </c>
      <c r="G45" s="112" t="s">
        <v>31</v>
      </c>
      <c r="H45" s="112" t="s">
        <v>541</v>
      </c>
      <c r="I45" s="112" t="s">
        <v>539</v>
      </c>
      <c r="J45" s="112" t="s">
        <v>270</v>
      </c>
      <c r="K45" s="224"/>
      <c r="L45" s="228"/>
      <c r="M45" s="228"/>
      <c r="N45" s="228"/>
      <c r="O45" s="228"/>
      <c r="P45" s="221"/>
      <c r="Q45" s="124">
        <v>8.1</v>
      </c>
      <c r="R45" s="124">
        <v>7.2</v>
      </c>
      <c r="S45" s="124">
        <v>16.2</v>
      </c>
      <c r="T45" s="124">
        <v>15.5</v>
      </c>
      <c r="U45" s="406">
        <v>-3.1</v>
      </c>
      <c r="V45" s="420">
        <v>9.1999999999999993</v>
      </c>
      <c r="W45" s="432">
        <f>ROUND(12.8/6,1)</f>
        <v>2.1</v>
      </c>
      <c r="X45" s="432">
        <f>ROUND(12.8/6,1)</f>
        <v>2.1</v>
      </c>
      <c r="Y45" s="432">
        <f>ROUND(12.8/6,1)</f>
        <v>2.1</v>
      </c>
      <c r="Z45" s="432">
        <f>ROUND(12.8/6,1)</f>
        <v>2.1</v>
      </c>
      <c r="AA45" s="432">
        <f>ROUND(12.8/6,1)+0.1</f>
        <v>2.2000000000000002</v>
      </c>
      <c r="AB45" s="432">
        <f>ROUND(12.8/6,1)+0.1</f>
        <v>2.2000000000000002</v>
      </c>
      <c r="AC45" s="432">
        <f>ROUND(3.9/3,1)</f>
        <v>1.3</v>
      </c>
      <c r="AD45" s="432">
        <f>ROUND(3.9/3,1)</f>
        <v>1.3</v>
      </c>
      <c r="AE45" s="432">
        <f>ROUND(3.9/3,1)</f>
        <v>1.3</v>
      </c>
      <c r="AF45" s="432">
        <f>ROUND(7/3,1)</f>
        <v>2.2999999999999998</v>
      </c>
      <c r="AG45" s="432">
        <f>ROUND(7/3,1)</f>
        <v>2.2999999999999998</v>
      </c>
      <c r="AH45" s="432">
        <f>ROUND(7/3,1)+0.1</f>
        <v>2.4</v>
      </c>
      <c r="AI45" s="432">
        <f>ROUND(16.5/7,1)</f>
        <v>2.4</v>
      </c>
      <c r="AJ45" s="432">
        <f t="shared" ref="AJ45:AL45" si="42">ROUND(16.5/7,1)</f>
        <v>2.4</v>
      </c>
      <c r="AK45" s="432">
        <f t="shared" si="42"/>
        <v>2.4</v>
      </c>
      <c r="AL45" s="432">
        <f t="shared" si="42"/>
        <v>2.4</v>
      </c>
      <c r="AM45" s="432">
        <f>ROUND(16.5/7,1)-0.1</f>
        <v>2.2999999999999998</v>
      </c>
      <c r="AN45" s="432">
        <f>ROUND(16.5/7,1)-0.1</f>
        <v>2.2999999999999998</v>
      </c>
      <c r="AO45" s="432">
        <f>ROUND(16.5/7,1)-0.1</f>
        <v>2.2999999999999998</v>
      </c>
      <c r="AP45" s="432">
        <f>ROUND(1.9/3,1)</f>
        <v>0.6</v>
      </c>
      <c r="AQ45" s="432">
        <f>ROUND(1.9/3,1)</f>
        <v>0.6</v>
      </c>
      <c r="AR45" s="432">
        <f>ROUND(1.9/3,1)+0.1</f>
        <v>0.7</v>
      </c>
      <c r="AS45" s="122">
        <v>0.7</v>
      </c>
      <c r="AT45" s="432">
        <f>ROUND(7.1/5,1)</f>
        <v>1.4</v>
      </c>
      <c r="AU45" s="432">
        <f t="shared" ref="AU45:AW45" si="43">ROUND(7.1/5,1)</f>
        <v>1.4</v>
      </c>
      <c r="AV45" s="432">
        <f t="shared" si="43"/>
        <v>1.4</v>
      </c>
      <c r="AW45" s="432">
        <f t="shared" si="43"/>
        <v>1.4</v>
      </c>
      <c r="AX45" s="432">
        <f>ROUND(7.1/5,1)+0.1</f>
        <v>1.5</v>
      </c>
      <c r="AY45" s="432">
        <f>ROUND(-0.3/2,1)</f>
        <v>-0.2</v>
      </c>
      <c r="AZ45" s="432">
        <f>ROUND(-0.3/2,1)+0.1</f>
        <v>-0.1</v>
      </c>
      <c r="BA45" s="432">
        <f>ROUND(3.4/3,1)</f>
        <v>1.1000000000000001</v>
      </c>
      <c r="BB45" s="432">
        <f>ROUND(3.4/3,1)</f>
        <v>1.1000000000000001</v>
      </c>
      <c r="BC45" s="432">
        <f>ROUND(3.4/3,1)+0.1</f>
        <v>1.2000000000000002</v>
      </c>
      <c r="BD45" s="432">
        <f>ROUND(0.2/2,1)</f>
        <v>0.1</v>
      </c>
      <c r="BE45" s="452">
        <f>ROUND(0.2/2,1)</f>
        <v>0.1</v>
      </c>
      <c r="BF45" s="379"/>
      <c r="BG45" s="368"/>
      <c r="BH45" s="333" t="str">
        <f ca="1">INDIRECT(ADDRESS(MATCH($B45,'【別紙1】標高（入力）'!$B:$B,0),'【別紙1】標高（入力）'!$N$2,4,TRUE,"【別紙1】標高（入力）"))</f>
        <v>R1</v>
      </c>
      <c r="BI45" s="342">
        <f ca="1">INDIRECT(ADDRESS(MATCH($B45,'【別紙1】標高（入力）'!$B:$B,0),'【別紙1】標高（入力）'!$O$2,4,TRUE,"【別紙1】標高（入力）"))</f>
        <v>3.0802</v>
      </c>
      <c r="BJ45" s="392"/>
    </row>
    <row r="46" spans="1:62" ht="15.95" customHeight="1">
      <c r="A46" s="119">
        <v>231</v>
      </c>
      <c r="B46" s="107" t="s">
        <v>598</v>
      </c>
      <c r="C46" s="114" t="s">
        <v>38</v>
      </c>
      <c r="D46" s="110" t="s">
        <v>324</v>
      </c>
      <c r="E46" s="109" t="s">
        <v>92</v>
      </c>
      <c r="F46" s="111" t="s">
        <v>9</v>
      </c>
      <c r="G46" s="112" t="s">
        <v>31</v>
      </c>
      <c r="H46" s="112" t="s">
        <v>64</v>
      </c>
      <c r="I46" s="112" t="s">
        <v>54</v>
      </c>
      <c r="J46" s="112" t="s">
        <v>270</v>
      </c>
      <c r="K46" s="224"/>
      <c r="L46" s="228"/>
      <c r="M46" s="228"/>
      <c r="N46" s="228"/>
      <c r="O46" s="228"/>
      <c r="P46" s="228"/>
      <c r="Q46" s="411" t="s">
        <v>1270</v>
      </c>
      <c r="R46" s="127">
        <v>14.3</v>
      </c>
      <c r="S46" s="123">
        <v>7.4</v>
      </c>
      <c r="T46" s="227" t="s">
        <v>1270</v>
      </c>
      <c r="U46" s="432">
        <f>ROUND(250.2/14,1)</f>
        <v>17.899999999999999</v>
      </c>
      <c r="V46" s="432">
        <f t="shared" ref="V46:AD46" si="44">ROUND(250.2/14,1)</f>
        <v>17.899999999999999</v>
      </c>
      <c r="W46" s="432">
        <f t="shared" si="44"/>
        <v>17.899999999999999</v>
      </c>
      <c r="X46" s="432">
        <f t="shared" si="44"/>
        <v>17.899999999999999</v>
      </c>
      <c r="Y46" s="432">
        <f t="shared" si="44"/>
        <v>17.899999999999999</v>
      </c>
      <c r="Z46" s="432">
        <f t="shared" si="44"/>
        <v>17.899999999999999</v>
      </c>
      <c r="AA46" s="432">
        <f t="shared" si="44"/>
        <v>17.899999999999999</v>
      </c>
      <c r="AB46" s="432">
        <f t="shared" si="44"/>
        <v>17.899999999999999</v>
      </c>
      <c r="AC46" s="432">
        <f t="shared" si="44"/>
        <v>17.899999999999999</v>
      </c>
      <c r="AD46" s="432">
        <f t="shared" si="44"/>
        <v>17.899999999999999</v>
      </c>
      <c r="AE46" s="432">
        <f>ROUND(250.2/14,1)-0.1</f>
        <v>17.799999999999997</v>
      </c>
      <c r="AF46" s="432">
        <f>ROUND(250.2/14,1)-0.1</f>
        <v>17.799999999999997</v>
      </c>
      <c r="AG46" s="432">
        <f>ROUND(250.2/14,1)-0.1</f>
        <v>17.799999999999997</v>
      </c>
      <c r="AH46" s="432">
        <f>ROUND(250.2/14,1)-0.1</f>
        <v>17.799999999999997</v>
      </c>
      <c r="AI46" s="432">
        <f>ROUND(82.2/7,1)</f>
        <v>11.7</v>
      </c>
      <c r="AJ46" s="432">
        <f t="shared" ref="AJ46:AL46" si="45">ROUND(82.2/7,1)</f>
        <v>11.7</v>
      </c>
      <c r="AK46" s="432">
        <f t="shared" si="45"/>
        <v>11.7</v>
      </c>
      <c r="AL46" s="432">
        <f t="shared" si="45"/>
        <v>11.7</v>
      </c>
      <c r="AM46" s="432">
        <f>ROUND(82.2/7,1)+0.1</f>
        <v>11.799999999999999</v>
      </c>
      <c r="AN46" s="432">
        <f>ROUND(82.2/7,1)+0.1</f>
        <v>11.799999999999999</v>
      </c>
      <c r="AO46" s="432">
        <f>ROUND(82.2/7,1)+0.1</f>
        <v>11.799999999999999</v>
      </c>
      <c r="AP46" s="432">
        <f>ROUND(118.9/4,1)</f>
        <v>29.7</v>
      </c>
      <c r="AQ46" s="432">
        <f>ROUND(118.9/4,1)</f>
        <v>29.7</v>
      </c>
      <c r="AR46" s="432">
        <f>ROUND(118.9/4,1)</f>
        <v>29.7</v>
      </c>
      <c r="AS46" s="432">
        <f>ROUND(118.9/4,1)+0.1</f>
        <v>29.8</v>
      </c>
      <c r="AT46" s="122">
        <v>44</v>
      </c>
      <c r="AU46" s="125">
        <v>19.2</v>
      </c>
      <c r="AV46" s="125">
        <v>6.6</v>
      </c>
      <c r="AW46" s="432">
        <f>ROUND(14.7/2,1)</f>
        <v>7.4</v>
      </c>
      <c r="AX46" s="432">
        <f>ROUND(14.7/2,1)-0.1</f>
        <v>7.3000000000000007</v>
      </c>
      <c r="AY46" s="432">
        <f>ROUND(15.4/2,1)</f>
        <v>7.7</v>
      </c>
      <c r="AZ46" s="432">
        <f>ROUND(15.4/2,1)</f>
        <v>7.7</v>
      </c>
      <c r="BA46" s="432">
        <f>ROUND(9.1/3,1)</f>
        <v>3</v>
      </c>
      <c r="BB46" s="432">
        <f>ROUND(9.1/3,1)</f>
        <v>3</v>
      </c>
      <c r="BC46" s="432">
        <f>ROUND(9.1/3,1)+0.1</f>
        <v>3.1</v>
      </c>
      <c r="BD46" s="449">
        <f>ROUND(9.3/2,1)</f>
        <v>4.7</v>
      </c>
      <c r="BE46" s="451">
        <f>ROUND(9.3/2,1)-0.1</f>
        <v>4.6000000000000005</v>
      </c>
      <c r="BF46" s="379"/>
      <c r="BG46" s="368"/>
      <c r="BH46" s="333" t="str">
        <f ca="1">INDIRECT(ADDRESS(MATCH($B46,'【別紙1】標高（入力）'!$B:$B,0),'【別紙1】標高（入力）'!$N$2,4,TRUE,"【別紙1】標高（入力）"))</f>
        <v>R1</v>
      </c>
      <c r="BI46" s="340">
        <f ca="1">INDIRECT(ADDRESS(MATCH($B46,'【別紙1】標高（入力）'!$B:$B,0),'【別紙1】標高（入力）'!$O$2,4,TRUE,"【別紙1】標高（入力）"))</f>
        <v>5.2644000000000002</v>
      </c>
      <c r="BJ46" s="392"/>
    </row>
    <row r="47" spans="1:62" s="231" customFormat="1" ht="15.95" customHeight="1">
      <c r="A47" s="214">
        <v>232</v>
      </c>
      <c r="B47" s="215" t="s">
        <v>433</v>
      </c>
      <c r="C47" s="216" t="s">
        <v>38</v>
      </c>
      <c r="D47" s="217" t="s">
        <v>327</v>
      </c>
      <c r="E47" s="218" t="s">
        <v>299</v>
      </c>
      <c r="F47" s="219" t="s">
        <v>9</v>
      </c>
      <c r="G47" s="220" t="s">
        <v>31</v>
      </c>
      <c r="H47" s="220" t="s">
        <v>64</v>
      </c>
      <c r="I47" s="220" t="s">
        <v>539</v>
      </c>
      <c r="J47" s="220" t="s">
        <v>270</v>
      </c>
      <c r="K47" s="224"/>
      <c r="L47" s="228"/>
      <c r="M47" s="228"/>
      <c r="N47" s="228"/>
      <c r="O47" s="228"/>
      <c r="P47" s="221"/>
      <c r="Q47" s="124">
        <v>48.6</v>
      </c>
      <c r="R47" s="124">
        <v>12.4</v>
      </c>
      <c r="S47" s="124">
        <v>8.9</v>
      </c>
      <c r="T47" s="124">
        <v>20.6</v>
      </c>
      <c r="U47" s="124">
        <v>0.2</v>
      </c>
      <c r="V47" s="124">
        <v>27.2</v>
      </c>
      <c r="W47" s="426"/>
      <c r="X47" s="424"/>
      <c r="Y47" s="424"/>
      <c r="Z47" s="424"/>
      <c r="AA47" s="424"/>
      <c r="AB47" s="424"/>
      <c r="AC47" s="424"/>
      <c r="AD47" s="424"/>
      <c r="AE47" s="424"/>
      <c r="AF47" s="423" t="s">
        <v>1271</v>
      </c>
      <c r="AG47" s="424"/>
      <c r="AH47" s="424"/>
      <c r="AI47" s="232" t="s">
        <v>247</v>
      </c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30"/>
      <c r="BF47" s="387"/>
      <c r="BG47" s="386"/>
      <c r="BH47" s="336" t="s">
        <v>529</v>
      </c>
      <c r="BI47" s="344" t="s">
        <v>1189</v>
      </c>
      <c r="BJ47" s="393" t="s">
        <v>730</v>
      </c>
    </row>
    <row r="48" spans="1:62" ht="15.95" customHeight="1">
      <c r="A48" s="119">
        <v>233</v>
      </c>
      <c r="B48" s="107" t="s">
        <v>434</v>
      </c>
      <c r="C48" s="114" t="s">
        <v>38</v>
      </c>
      <c r="D48" s="110" t="s">
        <v>328</v>
      </c>
      <c r="E48" s="109" t="s">
        <v>299</v>
      </c>
      <c r="F48" s="111" t="s">
        <v>9</v>
      </c>
      <c r="G48" s="112" t="s">
        <v>31</v>
      </c>
      <c r="H48" s="112" t="s">
        <v>64</v>
      </c>
      <c r="I48" s="112" t="s">
        <v>54</v>
      </c>
      <c r="J48" s="112" t="s">
        <v>270</v>
      </c>
      <c r="K48" s="224"/>
      <c r="L48" s="228"/>
      <c r="M48" s="228"/>
      <c r="N48" s="228"/>
      <c r="O48" s="228"/>
      <c r="P48" s="221"/>
      <c r="Q48" s="124">
        <v>20.399999999999999</v>
      </c>
      <c r="R48" s="124">
        <v>0.8</v>
      </c>
      <c r="S48" s="124">
        <v>4.9000000000000004</v>
      </c>
      <c r="T48" s="124">
        <v>5.9</v>
      </c>
      <c r="U48" s="124">
        <v>-5.6</v>
      </c>
      <c r="V48" s="123">
        <v>47.6</v>
      </c>
      <c r="W48" s="432">
        <f>ROUND(61.9/12,1)</f>
        <v>5.2</v>
      </c>
      <c r="X48" s="432">
        <f t="shared" ref="X48:AC48" si="46">ROUND(61.9/12,1)</f>
        <v>5.2</v>
      </c>
      <c r="Y48" s="432">
        <f t="shared" si="46"/>
        <v>5.2</v>
      </c>
      <c r="Z48" s="432">
        <f t="shared" si="46"/>
        <v>5.2</v>
      </c>
      <c r="AA48" s="432">
        <f t="shared" si="46"/>
        <v>5.2</v>
      </c>
      <c r="AB48" s="432">
        <f t="shared" si="46"/>
        <v>5.2</v>
      </c>
      <c r="AC48" s="432">
        <f t="shared" si="46"/>
        <v>5.2</v>
      </c>
      <c r="AD48" s="432">
        <f>ROUND(61.9/12,1)-0.1</f>
        <v>5.1000000000000005</v>
      </c>
      <c r="AE48" s="432">
        <f>ROUND(61.9/12,1)-0.1</f>
        <v>5.1000000000000005</v>
      </c>
      <c r="AF48" s="432">
        <f>ROUND(61.9/12,1)-0.1</f>
        <v>5.1000000000000005</v>
      </c>
      <c r="AG48" s="432">
        <f>ROUND(61.9/12,1)-0.1</f>
        <v>5.1000000000000005</v>
      </c>
      <c r="AH48" s="432">
        <f>ROUND(61.9/12,1)-0.1</f>
        <v>5.1000000000000005</v>
      </c>
      <c r="AI48" s="432">
        <f>ROUND(25.8/7,1)</f>
        <v>3.7</v>
      </c>
      <c r="AJ48" s="432">
        <f t="shared" ref="AJ48:AN48" si="47">ROUND(25.8/7,1)</f>
        <v>3.7</v>
      </c>
      <c r="AK48" s="432">
        <f t="shared" si="47"/>
        <v>3.7</v>
      </c>
      <c r="AL48" s="432">
        <f t="shared" si="47"/>
        <v>3.7</v>
      </c>
      <c r="AM48" s="432">
        <f t="shared" si="47"/>
        <v>3.7</v>
      </c>
      <c r="AN48" s="432">
        <f t="shared" si="47"/>
        <v>3.7</v>
      </c>
      <c r="AO48" s="432">
        <f>ROUND(25.8/7,1)-0.1</f>
        <v>3.6</v>
      </c>
      <c r="AP48" s="432">
        <f>ROUND(6.1/3,1)</f>
        <v>2</v>
      </c>
      <c r="AQ48" s="432">
        <f>ROUND(6.1/3,1)</f>
        <v>2</v>
      </c>
      <c r="AR48" s="432">
        <f>ROUND(6.1/3,1)+0.1</f>
        <v>2.1</v>
      </c>
      <c r="AS48" s="122">
        <v>3</v>
      </c>
      <c r="AT48" s="432">
        <f>ROUND(12.9/5,1)</f>
        <v>2.6</v>
      </c>
      <c r="AU48" s="432">
        <f t="shared" ref="AU48:AW48" si="48">ROUND(12.9/5,1)</f>
        <v>2.6</v>
      </c>
      <c r="AV48" s="432">
        <f t="shared" si="48"/>
        <v>2.6</v>
      </c>
      <c r="AW48" s="432">
        <f t="shared" si="48"/>
        <v>2.6</v>
      </c>
      <c r="AX48" s="432">
        <f>ROUND(12.9/5,1)-0.1</f>
        <v>2.5</v>
      </c>
      <c r="AY48" s="432">
        <f>ROUND(0.7/2,1)</f>
        <v>0.4</v>
      </c>
      <c r="AZ48" s="432">
        <f>ROUND(0.7/2,1)-0.1</f>
        <v>0.30000000000000004</v>
      </c>
      <c r="BA48" s="432">
        <f>ROUND(4/3,1)</f>
        <v>1.3</v>
      </c>
      <c r="BB48" s="432">
        <f>ROUND(4/3,1)</f>
        <v>1.3</v>
      </c>
      <c r="BC48" s="432">
        <f>ROUND(4/3,1)+0.1</f>
        <v>1.4000000000000001</v>
      </c>
      <c r="BD48" s="449">
        <f>ROUND(1.8/2,1)</f>
        <v>0.9</v>
      </c>
      <c r="BE48" s="450">
        <f>ROUND(1.8/2,1)</f>
        <v>0.9</v>
      </c>
      <c r="BF48" s="379"/>
      <c r="BG48" s="368"/>
      <c r="BH48" s="333" t="str">
        <f ca="1">INDIRECT(ADDRESS(MATCH($B48,'【別紙1】標高（入力）'!$B:$B,0),'【別紙1】標高（入力）'!$N$2,4,TRUE,"【別紙1】標高（入力）"))</f>
        <v>R1</v>
      </c>
      <c r="BI48" s="342">
        <f ca="1">INDIRECT(ADDRESS(MATCH($B48,'【別紙1】標高（入力）'!$B:$B,0),'【別紙1】標高（入力）'!$O$2,4,TRUE,"【別紙1】標高（入力）"))</f>
        <v>3.5861000000000001</v>
      </c>
      <c r="BJ48" s="392"/>
    </row>
    <row r="49" spans="1:62" ht="15.95" customHeight="1">
      <c r="A49" s="119">
        <v>301</v>
      </c>
      <c r="B49" s="107" t="s">
        <v>409</v>
      </c>
      <c r="C49" s="114" t="s">
        <v>96</v>
      </c>
      <c r="D49" s="110" t="s">
        <v>558</v>
      </c>
      <c r="E49" s="109" t="s">
        <v>97</v>
      </c>
      <c r="F49" s="111" t="s">
        <v>12</v>
      </c>
      <c r="G49" s="112" t="s">
        <v>19</v>
      </c>
      <c r="H49" s="112" t="s">
        <v>541</v>
      </c>
      <c r="I49" s="112" t="s">
        <v>284</v>
      </c>
      <c r="J49" s="112" t="s">
        <v>264</v>
      </c>
      <c r="K49" s="224"/>
      <c r="L49" s="432">
        <f>ROUND(34.1/2,1)</f>
        <v>17.100000000000001</v>
      </c>
      <c r="M49" s="432">
        <f>ROUND(34.1/2,1)-0.1</f>
        <v>17</v>
      </c>
      <c r="N49" s="127">
        <v>-3.4</v>
      </c>
      <c r="O49" s="124">
        <v>6.7</v>
      </c>
      <c r="P49" s="124">
        <v>10.199999999999999</v>
      </c>
      <c r="Q49" s="124">
        <v>8.3000000000000007</v>
      </c>
      <c r="R49" s="124">
        <v>3</v>
      </c>
      <c r="S49" s="124">
        <v>-6.1</v>
      </c>
      <c r="T49" s="124">
        <v>4.0999999999999996</v>
      </c>
      <c r="U49" s="124">
        <v>2.9</v>
      </c>
      <c r="V49" s="124">
        <v>5</v>
      </c>
      <c r="W49" s="124">
        <v>21.5</v>
      </c>
      <c r="X49" s="124">
        <v>1</v>
      </c>
      <c r="Y49" s="124">
        <v>-8.6999999999999993</v>
      </c>
      <c r="Z49" s="124">
        <v>4.5999999999999996</v>
      </c>
      <c r="AA49" s="124">
        <v>5</v>
      </c>
      <c r="AB49" s="124">
        <v>-2.8</v>
      </c>
      <c r="AC49" s="124">
        <v>8.9</v>
      </c>
      <c r="AD49" s="124">
        <v>-2.2000000000000002</v>
      </c>
      <c r="AE49" s="124">
        <v>-3.1</v>
      </c>
      <c r="AF49" s="124">
        <v>4.2</v>
      </c>
      <c r="AG49" s="124">
        <v>5.4</v>
      </c>
      <c r="AH49" s="123">
        <v>-5.3</v>
      </c>
      <c r="AI49" s="126">
        <v>8.6999999999999993</v>
      </c>
      <c r="AJ49" s="128">
        <v>2.9</v>
      </c>
      <c r="AK49" s="128">
        <v>-1.9</v>
      </c>
      <c r="AL49" s="124">
        <v>4.2</v>
      </c>
      <c r="AM49" s="123">
        <v>1.7999999999993599</v>
      </c>
      <c r="AN49" s="124">
        <v>-7.2</v>
      </c>
      <c r="AO49" s="122">
        <v>7.5</v>
      </c>
      <c r="AP49" s="125">
        <v>4.5999999999999996</v>
      </c>
      <c r="AQ49" s="432">
        <f>ROUND(34/2,1)</f>
        <v>17</v>
      </c>
      <c r="AR49" s="432">
        <f>ROUND(34/2,1)</f>
        <v>17</v>
      </c>
      <c r="AS49" s="121">
        <v>3.7</v>
      </c>
      <c r="AT49" s="125">
        <v>3.7</v>
      </c>
      <c r="AU49" s="125">
        <v>-4.3</v>
      </c>
      <c r="AV49" s="125">
        <v>0.8</v>
      </c>
      <c r="AW49" s="125">
        <v>2.2000000000000002</v>
      </c>
      <c r="AX49" s="125">
        <v>3.2</v>
      </c>
      <c r="AY49" s="125">
        <v>-1.9</v>
      </c>
      <c r="AZ49" s="126">
        <v>0.8</v>
      </c>
      <c r="BA49" s="125">
        <v>-0.1</v>
      </c>
      <c r="BB49" s="432">
        <f>ROUND(0/2,1)</f>
        <v>0</v>
      </c>
      <c r="BC49" s="432">
        <f>ROUND(0/2,1)</f>
        <v>0</v>
      </c>
      <c r="BD49" s="125">
        <v>2.3999999999997357</v>
      </c>
      <c r="BE49" s="141">
        <v>3.2999999999994145</v>
      </c>
      <c r="BF49" s="379"/>
      <c r="BG49" s="368"/>
      <c r="BH49" s="333" t="e">
        <f ca="1">INDIRECT(ADDRESS(MATCH($B49,'【別紙1】標高（入力）'!$B:$B,0),'【別紙1】標高（入力）'!$N$2,4,TRUE,"【別紙1】標高（入力）"))</f>
        <v>#N/A</v>
      </c>
      <c r="BI49" s="342" t="e">
        <f ca="1">INDIRECT(ADDRESS(MATCH($B49,'【別紙1】標高（入力）'!$B:$B,0),'【別紙1】標高（入力）'!$O$2,4,TRUE,"【別紙1】標高（入力）"))</f>
        <v>#N/A</v>
      </c>
      <c r="BJ49" s="392"/>
    </row>
    <row r="50" spans="1:62" ht="15.95" customHeight="1">
      <c r="A50" s="119">
        <v>302</v>
      </c>
      <c r="B50" s="107" t="s">
        <v>382</v>
      </c>
      <c r="C50" s="114" t="s">
        <v>96</v>
      </c>
      <c r="D50" s="110" t="s">
        <v>569</v>
      </c>
      <c r="E50" s="109" t="s">
        <v>313</v>
      </c>
      <c r="F50" s="111" t="s">
        <v>12</v>
      </c>
      <c r="G50" s="112" t="s">
        <v>73</v>
      </c>
      <c r="H50" s="112" t="s">
        <v>541</v>
      </c>
      <c r="I50" s="112" t="s">
        <v>539</v>
      </c>
      <c r="J50" s="112" t="s">
        <v>264</v>
      </c>
      <c r="K50" s="224"/>
      <c r="L50" s="228"/>
      <c r="M50" s="228"/>
      <c r="N50" s="228"/>
      <c r="O50" s="432">
        <f>ROUND(31.8/2,1)</f>
        <v>15.9</v>
      </c>
      <c r="P50" s="432">
        <f>ROUND(31.8/2,1)</f>
        <v>15.9</v>
      </c>
      <c r="Q50" s="127">
        <v>22.8</v>
      </c>
      <c r="R50" s="124">
        <v>13.6</v>
      </c>
      <c r="S50" s="124">
        <v>-11.2</v>
      </c>
      <c r="T50" s="124">
        <v>18</v>
      </c>
      <c r="U50" s="124">
        <v>17.600000000000001</v>
      </c>
      <c r="V50" s="124">
        <v>65.2</v>
      </c>
      <c r="W50" s="124">
        <v>35.200000000000003</v>
      </c>
      <c r="X50" s="124">
        <v>-0.8</v>
      </c>
      <c r="Y50" s="123">
        <v>-5.2</v>
      </c>
      <c r="Z50" s="432">
        <f>ROUND(13/3,1)</f>
        <v>4.3</v>
      </c>
      <c r="AA50" s="432">
        <f>ROUND(13/3,1)</f>
        <v>4.3</v>
      </c>
      <c r="AB50" s="432">
        <f>ROUND(13/3,1)+0.1</f>
        <v>4.3999999999999995</v>
      </c>
      <c r="AC50" s="127">
        <v>22.6</v>
      </c>
      <c r="AD50" s="124">
        <v>-2.8</v>
      </c>
      <c r="AE50" s="124">
        <v>-0.7</v>
      </c>
      <c r="AF50" s="124">
        <v>6.3</v>
      </c>
      <c r="AG50" s="124">
        <v>7</v>
      </c>
      <c r="AH50" s="123">
        <v>-2.2000000000000002</v>
      </c>
      <c r="AI50" s="396">
        <v>13.5</v>
      </c>
      <c r="AJ50" s="124">
        <v>2.7</v>
      </c>
      <c r="AK50" s="124">
        <v>4.8</v>
      </c>
      <c r="AL50" s="124">
        <v>1.9</v>
      </c>
      <c r="AM50" s="123">
        <v>4.7999999999994696</v>
      </c>
      <c r="AN50" s="124">
        <v>-6.1</v>
      </c>
      <c r="AO50" s="122">
        <v>11.7</v>
      </c>
      <c r="AP50" s="126">
        <v>16.2</v>
      </c>
      <c r="AQ50" s="122">
        <v>1.3</v>
      </c>
      <c r="AR50" s="125">
        <v>6.4</v>
      </c>
      <c r="AS50" s="432">
        <f>ROUND(13.2/4,1)</f>
        <v>3.3</v>
      </c>
      <c r="AT50" s="432">
        <f t="shared" ref="AT50:AV50" si="49">ROUND(13.2/4,1)</f>
        <v>3.3</v>
      </c>
      <c r="AU50" s="432">
        <f t="shared" si="49"/>
        <v>3.3</v>
      </c>
      <c r="AV50" s="432">
        <f t="shared" si="49"/>
        <v>3.3</v>
      </c>
      <c r="AW50" s="122">
        <v>-1</v>
      </c>
      <c r="AX50" s="125">
        <v>7.2</v>
      </c>
      <c r="AY50" s="125">
        <v>-2.5</v>
      </c>
      <c r="AZ50" s="432">
        <f>ROUND(4/4,1)</f>
        <v>1</v>
      </c>
      <c r="BA50" s="432">
        <f t="shared" ref="BA50:BC50" si="50">ROUND(4/4,1)</f>
        <v>1</v>
      </c>
      <c r="BB50" s="432">
        <f t="shared" si="50"/>
        <v>1</v>
      </c>
      <c r="BC50" s="432">
        <f t="shared" si="50"/>
        <v>1</v>
      </c>
      <c r="BD50" s="125">
        <v>3.3999999999991815</v>
      </c>
      <c r="BE50" s="141" t="s">
        <v>247</v>
      </c>
      <c r="BF50" s="379"/>
      <c r="BG50" s="368"/>
      <c r="BH50" s="335" t="e">
        <f ca="1">INDIRECT(ADDRESS(MATCH($B50,'【別紙1】標高（入力）'!$B:$B,0),'【別紙1】標高（入力）'!$N$2,4,TRUE,"【別紙1】標高（入力）"))</f>
        <v>#N/A</v>
      </c>
      <c r="BI50" s="342" t="e">
        <f ca="1">INDIRECT(ADDRESS(MATCH($B50,'【別紙1】標高（入力）'!$B:$B,0),'【別紙1】標高（入力）'!$O$2,4,TRUE,"【別紙1】標高（入力）"))</f>
        <v>#N/A</v>
      </c>
      <c r="BJ50" s="392"/>
    </row>
    <row r="51" spans="1:62" ht="15.95" customHeight="1">
      <c r="A51" s="119">
        <v>303</v>
      </c>
      <c r="B51" s="107" t="s">
        <v>403</v>
      </c>
      <c r="C51" s="114" t="s">
        <v>96</v>
      </c>
      <c r="D51" s="110" t="s">
        <v>100</v>
      </c>
      <c r="E51" s="109" t="s">
        <v>101</v>
      </c>
      <c r="F51" s="111" t="s">
        <v>9</v>
      </c>
      <c r="G51" s="112" t="s">
        <v>10</v>
      </c>
      <c r="H51" s="112" t="s">
        <v>541</v>
      </c>
      <c r="I51" s="112" t="s">
        <v>539</v>
      </c>
      <c r="J51" s="112" t="s">
        <v>270</v>
      </c>
      <c r="K51" s="224"/>
      <c r="L51" s="228"/>
      <c r="M51" s="221"/>
      <c r="N51" s="124">
        <v>18</v>
      </c>
      <c r="O51" s="124">
        <v>2.8</v>
      </c>
      <c r="P51" s="124">
        <v>15.8</v>
      </c>
      <c r="Q51" s="124">
        <v>15</v>
      </c>
      <c r="R51" s="124">
        <v>5</v>
      </c>
      <c r="S51" s="124">
        <v>-2.5</v>
      </c>
      <c r="T51" s="124">
        <v>10.3</v>
      </c>
      <c r="U51" s="124">
        <v>3.3</v>
      </c>
      <c r="V51" s="124">
        <v>15.1</v>
      </c>
      <c r="W51" s="124">
        <v>31.9</v>
      </c>
      <c r="X51" s="124">
        <v>2.7</v>
      </c>
      <c r="Y51" s="124">
        <v>-7.8</v>
      </c>
      <c r="Z51" s="124">
        <v>5.9</v>
      </c>
      <c r="AA51" s="124">
        <v>6.3</v>
      </c>
      <c r="AB51" s="124">
        <v>-2.2000000000000002</v>
      </c>
      <c r="AC51" s="124">
        <v>10.5</v>
      </c>
      <c r="AD51" s="124">
        <v>-3</v>
      </c>
      <c r="AE51" s="124">
        <v>-1</v>
      </c>
      <c r="AF51" s="124">
        <v>6.8</v>
      </c>
      <c r="AG51" s="124">
        <v>5.0999999999999996</v>
      </c>
      <c r="AH51" s="123">
        <v>-4.8</v>
      </c>
      <c r="AI51" s="396">
        <v>10.199999999999999</v>
      </c>
      <c r="AJ51" s="124">
        <v>-1.9</v>
      </c>
      <c r="AK51" s="124">
        <v>0.3</v>
      </c>
      <c r="AL51" s="123">
        <v>3.9</v>
      </c>
      <c r="AM51" s="123">
        <v>4.3000000000006402</v>
      </c>
      <c r="AN51" s="124">
        <v>-7.4</v>
      </c>
      <c r="AO51" s="122">
        <v>9.6999999999999993</v>
      </c>
      <c r="AP51" s="125">
        <v>4.4000000000000004</v>
      </c>
      <c r="AQ51" s="432">
        <f>ROUND(1.8/2,1)</f>
        <v>0.9</v>
      </c>
      <c r="AR51" s="432">
        <f>ROUND(1.8/2,1)</f>
        <v>0.9</v>
      </c>
      <c r="AS51" s="432">
        <f>ROUND(0.5/3,1)</f>
        <v>0.2</v>
      </c>
      <c r="AT51" s="432">
        <f>ROUND(0.5/3,1)</f>
        <v>0.2</v>
      </c>
      <c r="AU51" s="432">
        <f>ROUND(0.5/3,1)-0.1</f>
        <v>0.1</v>
      </c>
      <c r="AV51" s="121">
        <v>2.4</v>
      </c>
      <c r="AW51" s="125">
        <v>-2.2000000000000002</v>
      </c>
      <c r="AX51" s="125">
        <v>7.4</v>
      </c>
      <c r="AY51" s="432">
        <f>ROUND(2.1/5,1)</f>
        <v>0.4</v>
      </c>
      <c r="AZ51" s="432">
        <f t="shared" ref="AZ51:BB51" si="51">ROUND(2.1/5,1)</f>
        <v>0.4</v>
      </c>
      <c r="BA51" s="432">
        <f t="shared" si="51"/>
        <v>0.4</v>
      </c>
      <c r="BB51" s="432">
        <f t="shared" si="51"/>
        <v>0.4</v>
      </c>
      <c r="BC51" s="432">
        <f>ROUND(2.1/5,1)+0.1</f>
        <v>0.5</v>
      </c>
      <c r="BD51" s="125" t="s">
        <v>247</v>
      </c>
      <c r="BE51" s="142" t="s">
        <v>247</v>
      </c>
      <c r="BF51" s="379"/>
      <c r="BG51" s="368"/>
      <c r="BH51" s="335" t="str">
        <f ca="1">INDIRECT(ADDRESS(MATCH($B51,'【別紙1】標高（入力）'!$B:$B,0),'【別紙1】標高（入力）'!$N$2,4,TRUE,"【別紙1】標高（入力）"))</f>
        <v>R5</v>
      </c>
      <c r="BI51" s="342">
        <f ca="1">INDIRECT(ADDRESS(MATCH($B51,'【別紙1】標高（入力）'!$B:$B,0),'【別紙1】標高（入力）'!$O$2,4,TRUE,"【別紙1】標高（入力）"))</f>
        <v>9.5541</v>
      </c>
      <c r="BJ51" s="392"/>
    </row>
    <row r="52" spans="1:62" ht="15.95" customHeight="1">
      <c r="A52" s="119">
        <v>304</v>
      </c>
      <c r="B52" s="107" t="s">
        <v>381</v>
      </c>
      <c r="C52" s="114" t="s">
        <v>96</v>
      </c>
      <c r="D52" s="110" t="s">
        <v>655</v>
      </c>
      <c r="E52" s="109" t="s">
        <v>102</v>
      </c>
      <c r="F52" s="111" t="s">
        <v>9</v>
      </c>
      <c r="G52" s="112" t="s">
        <v>19</v>
      </c>
      <c r="H52" s="112" t="s">
        <v>541</v>
      </c>
      <c r="I52" s="112" t="s">
        <v>539</v>
      </c>
      <c r="J52" s="112" t="s">
        <v>264</v>
      </c>
      <c r="K52" s="222"/>
      <c r="L52" s="124">
        <v>20.3</v>
      </c>
      <c r="M52" s="124">
        <v>2.4</v>
      </c>
      <c r="N52" s="124">
        <v>-1.2</v>
      </c>
      <c r="O52" s="124">
        <v>8.1</v>
      </c>
      <c r="P52" s="124">
        <v>11.7</v>
      </c>
      <c r="Q52" s="124">
        <v>8.9</v>
      </c>
      <c r="R52" s="124">
        <v>1.9</v>
      </c>
      <c r="S52" s="124">
        <v>-7.1</v>
      </c>
      <c r="T52" s="124">
        <v>4.4000000000000004</v>
      </c>
      <c r="U52" s="124">
        <v>3.6</v>
      </c>
      <c r="V52" s="124">
        <v>19</v>
      </c>
      <c r="W52" s="124">
        <v>17.7</v>
      </c>
      <c r="X52" s="124">
        <v>-3.2</v>
      </c>
      <c r="Y52" s="124">
        <v>-8.1999999999999993</v>
      </c>
      <c r="Z52" s="124">
        <v>4.4000000000000004</v>
      </c>
      <c r="AA52" s="124">
        <v>8.6</v>
      </c>
      <c r="AB52" s="124">
        <v>-3.3</v>
      </c>
      <c r="AC52" s="124">
        <v>8.1999999999999993</v>
      </c>
      <c r="AD52" s="124">
        <v>-1.2</v>
      </c>
      <c r="AE52" s="124">
        <v>-3.7</v>
      </c>
      <c r="AF52" s="124">
        <v>4.9000000000000004</v>
      </c>
      <c r="AG52" s="124">
        <v>4.2</v>
      </c>
      <c r="AH52" s="123">
        <v>-3.6</v>
      </c>
      <c r="AI52" s="126">
        <v>9.5</v>
      </c>
      <c r="AJ52" s="128">
        <v>1.8</v>
      </c>
      <c r="AK52" s="128">
        <v>-1.4</v>
      </c>
      <c r="AL52" s="123">
        <v>1.2</v>
      </c>
      <c r="AM52" s="123">
        <v>3.0000000000001101</v>
      </c>
      <c r="AN52" s="124">
        <v>-7.5</v>
      </c>
      <c r="AO52" s="122">
        <v>6.4</v>
      </c>
      <c r="AP52" s="126">
        <v>4.2</v>
      </c>
      <c r="AQ52" s="122">
        <v>-0.1</v>
      </c>
      <c r="AR52" s="125">
        <v>0.4</v>
      </c>
      <c r="AS52" s="432">
        <f>ROUND(0.8/4,1)</f>
        <v>0.2</v>
      </c>
      <c r="AT52" s="432">
        <f t="shared" ref="AT52:AV52" si="52">ROUND(0.8/4,1)</f>
        <v>0.2</v>
      </c>
      <c r="AU52" s="432">
        <f t="shared" si="52"/>
        <v>0.2</v>
      </c>
      <c r="AV52" s="432">
        <f t="shared" si="52"/>
        <v>0.2</v>
      </c>
      <c r="AW52" s="122">
        <v>-0.1</v>
      </c>
      <c r="AX52" s="125">
        <v>4.5999999999999996</v>
      </c>
      <c r="AY52" s="125">
        <v>-2.8</v>
      </c>
      <c r="AZ52" s="432">
        <f>ROUND(0.5/4,1)</f>
        <v>0.1</v>
      </c>
      <c r="BA52" s="432">
        <f>ROUND(0.5/4,1)</f>
        <v>0.1</v>
      </c>
      <c r="BB52" s="432">
        <f>ROUND(0.5/4,1)</f>
        <v>0.1</v>
      </c>
      <c r="BC52" s="432">
        <f>ROUND(0.5/4,1)+0.1</f>
        <v>0.2</v>
      </c>
      <c r="BD52" s="125">
        <v>2.500000000001279</v>
      </c>
      <c r="BE52" s="141" t="s">
        <v>247</v>
      </c>
      <c r="BF52" s="379"/>
      <c r="BG52" s="368"/>
      <c r="BH52" s="335" t="str">
        <f ca="1">INDIRECT(ADDRESS(MATCH($B52,'【別紙1】標高（入力）'!$B:$B,0),'【別紙1】標高（入力）'!$N$2,4,TRUE,"【別紙1】標高（入力）"))</f>
        <v>H30</v>
      </c>
      <c r="BI52" s="342">
        <f ca="1">INDIRECT(ADDRESS(MATCH($B52,'【別紙1】標高（入力）'!$B:$B,0),'【別紙1】標高（入力）'!$O$2,4,TRUE,"【別紙1】標高（入力）"))</f>
        <v>9.3439999999999994</v>
      </c>
      <c r="BJ52" s="392"/>
    </row>
    <row r="53" spans="1:62" ht="15.95" customHeight="1">
      <c r="A53" s="119">
        <v>305</v>
      </c>
      <c r="B53" s="107" t="s">
        <v>402</v>
      </c>
      <c r="C53" s="114" t="s">
        <v>96</v>
      </c>
      <c r="D53" s="110" t="s">
        <v>103</v>
      </c>
      <c r="E53" s="109" t="s">
        <v>104</v>
      </c>
      <c r="F53" s="111" t="s">
        <v>9</v>
      </c>
      <c r="G53" s="112" t="s">
        <v>10</v>
      </c>
      <c r="H53" s="112" t="s">
        <v>541</v>
      </c>
      <c r="I53" s="112" t="s">
        <v>54</v>
      </c>
      <c r="J53" s="112" t="s">
        <v>264</v>
      </c>
      <c r="K53" s="224"/>
      <c r="L53" s="228"/>
      <c r="M53" s="221"/>
      <c r="N53" s="124">
        <v>14.5</v>
      </c>
      <c r="O53" s="124">
        <v>8.1</v>
      </c>
      <c r="P53" s="124">
        <v>20.2</v>
      </c>
      <c r="Q53" s="124">
        <v>17.3</v>
      </c>
      <c r="R53" s="124">
        <v>8.3000000000000007</v>
      </c>
      <c r="S53" s="124">
        <v>2.2999999999999998</v>
      </c>
      <c r="T53" s="124">
        <v>11.8</v>
      </c>
      <c r="U53" s="124">
        <v>3.5</v>
      </c>
      <c r="V53" s="124">
        <v>32.9</v>
      </c>
      <c r="W53" s="124">
        <v>67</v>
      </c>
      <c r="X53" s="124">
        <v>6.9</v>
      </c>
      <c r="Y53" s="124">
        <v>-3.8</v>
      </c>
      <c r="Z53" s="124">
        <v>2.6</v>
      </c>
      <c r="AA53" s="124">
        <v>10.6</v>
      </c>
      <c r="AB53" s="124">
        <v>-2.1</v>
      </c>
      <c r="AC53" s="124">
        <v>13.6</v>
      </c>
      <c r="AD53" s="124">
        <v>-1.9</v>
      </c>
      <c r="AE53" s="124">
        <v>-0.5</v>
      </c>
      <c r="AF53" s="124">
        <v>6.4</v>
      </c>
      <c r="AG53" s="124">
        <v>5.7</v>
      </c>
      <c r="AH53" s="123">
        <v>-0.6</v>
      </c>
      <c r="AI53" s="396">
        <v>10.8</v>
      </c>
      <c r="AJ53" s="124">
        <v>0.2</v>
      </c>
      <c r="AK53" s="124">
        <v>1.9</v>
      </c>
      <c r="AL53" s="124">
        <v>3.7</v>
      </c>
      <c r="AM53" s="123">
        <v>4.9999999999998899</v>
      </c>
      <c r="AN53" s="124">
        <v>-4.9000000000000004</v>
      </c>
      <c r="AO53" s="122">
        <v>7.8</v>
      </c>
      <c r="AP53" s="125">
        <v>6.3</v>
      </c>
      <c r="AQ53" s="432">
        <f>ROUND(5/2,1)</f>
        <v>2.5</v>
      </c>
      <c r="AR53" s="432">
        <f>ROUND(5/2,1)</f>
        <v>2.5</v>
      </c>
      <c r="AS53" s="432">
        <f>ROUND(12.6/5,1)</f>
        <v>2.5</v>
      </c>
      <c r="AT53" s="432">
        <f t="shared" ref="AT53:AV53" si="53">ROUND(12.6/5,1)</f>
        <v>2.5</v>
      </c>
      <c r="AU53" s="432">
        <f t="shared" si="53"/>
        <v>2.5</v>
      </c>
      <c r="AV53" s="432">
        <f t="shared" si="53"/>
        <v>2.5</v>
      </c>
      <c r="AW53" s="432">
        <f>ROUND(12.6/5,1)+0.1</f>
        <v>2.6</v>
      </c>
      <c r="AX53" s="122">
        <v>8.6</v>
      </c>
      <c r="AY53" s="432">
        <f>ROUND(5.3/5,1)</f>
        <v>1.1000000000000001</v>
      </c>
      <c r="AZ53" s="432">
        <f>ROUND(5.3/5,1)</f>
        <v>1.1000000000000001</v>
      </c>
      <c r="BA53" s="432">
        <f>ROUND(5.3/5,1)</f>
        <v>1.1000000000000001</v>
      </c>
      <c r="BB53" s="432">
        <f>ROUND(5.3/5,1)-0.1</f>
        <v>1</v>
      </c>
      <c r="BC53" s="432">
        <f>ROUND(5.3/5,1)-0.1</f>
        <v>1</v>
      </c>
      <c r="BD53" s="125" t="s">
        <v>247</v>
      </c>
      <c r="BE53" s="142" t="s">
        <v>247</v>
      </c>
      <c r="BF53" s="379"/>
      <c r="BG53" s="368"/>
      <c r="BH53" s="335" t="str">
        <f ca="1">INDIRECT(ADDRESS(MATCH($B53,'【別紙1】標高（入力）'!$B:$B,0),'【別紙1】標高（入力）'!$N$2,4,TRUE,"【別紙1】標高（入力）"))</f>
        <v>R4</v>
      </c>
      <c r="BI53" s="342">
        <f ca="1">INDIRECT(ADDRESS(MATCH($B53,'【別紙1】標高（入力）'!$B:$B,0),'【別紙1】標高（入力）'!$O$2,4,TRUE,"【別紙1】標高（入力）"))</f>
        <v>7.5693000000000001</v>
      </c>
      <c r="BJ53" s="392"/>
    </row>
    <row r="54" spans="1:62" ht="15.95" customHeight="1">
      <c r="A54" s="119">
        <v>306</v>
      </c>
      <c r="B54" s="107" t="s">
        <v>380</v>
      </c>
      <c r="C54" s="114" t="s">
        <v>96</v>
      </c>
      <c r="D54" s="110" t="s">
        <v>570</v>
      </c>
      <c r="E54" s="109" t="s">
        <v>105</v>
      </c>
      <c r="F54" s="111" t="s">
        <v>9</v>
      </c>
      <c r="G54" s="112" t="s">
        <v>19</v>
      </c>
      <c r="H54" s="112" t="s">
        <v>541</v>
      </c>
      <c r="I54" s="112" t="s">
        <v>54</v>
      </c>
      <c r="J54" s="112" t="s">
        <v>264</v>
      </c>
      <c r="K54" s="222"/>
      <c r="L54" s="124">
        <v>32.700000000000003</v>
      </c>
      <c r="M54" s="124">
        <v>35.1</v>
      </c>
      <c r="N54" s="124">
        <v>39.799999999999997</v>
      </c>
      <c r="O54" s="124">
        <v>-9.3000000000000007</v>
      </c>
      <c r="P54" s="124">
        <v>13.9</v>
      </c>
      <c r="Q54" s="124">
        <v>53.5</v>
      </c>
      <c r="R54" s="124">
        <v>20.100000000000001</v>
      </c>
      <c r="S54" s="124">
        <v>2</v>
      </c>
      <c r="T54" s="124">
        <v>31.2</v>
      </c>
      <c r="U54" s="124">
        <v>28.1</v>
      </c>
      <c r="V54" s="124">
        <v>83.9</v>
      </c>
      <c r="W54" s="124">
        <v>46.3</v>
      </c>
      <c r="X54" s="124">
        <v>9.4</v>
      </c>
      <c r="Y54" s="124">
        <v>-10.8</v>
      </c>
      <c r="Z54" s="124">
        <v>1.3</v>
      </c>
      <c r="AA54" s="124">
        <v>10.5</v>
      </c>
      <c r="AB54" s="124">
        <v>-2.8</v>
      </c>
      <c r="AC54" s="124">
        <v>9.6999999999999993</v>
      </c>
      <c r="AD54" s="124">
        <v>0</v>
      </c>
      <c r="AE54" s="124">
        <v>-2.6</v>
      </c>
      <c r="AF54" s="124">
        <v>6</v>
      </c>
      <c r="AG54" s="124">
        <v>6.6</v>
      </c>
      <c r="AH54" s="123">
        <v>-2.6</v>
      </c>
      <c r="AI54" s="126">
        <v>10.1</v>
      </c>
      <c r="AJ54" s="128">
        <v>4.7</v>
      </c>
      <c r="AK54" s="128">
        <v>-0.6</v>
      </c>
      <c r="AL54" s="123">
        <v>2.9</v>
      </c>
      <c r="AM54" s="123">
        <v>7.10000000000033</v>
      </c>
      <c r="AN54" s="124">
        <v>-4.9000000000000004</v>
      </c>
      <c r="AO54" s="122">
        <v>7.3</v>
      </c>
      <c r="AP54" s="126">
        <v>6.3</v>
      </c>
      <c r="AQ54" s="122">
        <v>3.5</v>
      </c>
      <c r="AR54" s="125">
        <v>5.8</v>
      </c>
      <c r="AS54" s="432">
        <f>ROUND(14.1/5,1)</f>
        <v>2.8</v>
      </c>
      <c r="AT54" s="432">
        <f t="shared" ref="AT54:AV54" si="54">ROUND(14.1/5,1)</f>
        <v>2.8</v>
      </c>
      <c r="AU54" s="432">
        <f t="shared" si="54"/>
        <v>2.8</v>
      </c>
      <c r="AV54" s="432">
        <f t="shared" si="54"/>
        <v>2.8</v>
      </c>
      <c r="AW54" s="432">
        <f>ROUND(14.1/5,1)+0.1</f>
        <v>2.9</v>
      </c>
      <c r="AX54" s="122">
        <v>6.7</v>
      </c>
      <c r="AY54" s="125">
        <v>-3.2</v>
      </c>
      <c r="AZ54" s="432">
        <f>ROUND(1.7/4,1)</f>
        <v>0.4</v>
      </c>
      <c r="BA54" s="432">
        <f>ROUND(1.7/4,1)</f>
        <v>0.4</v>
      </c>
      <c r="BB54" s="432">
        <f>ROUND(1.7/4,1)</f>
        <v>0.4</v>
      </c>
      <c r="BC54" s="432">
        <f>ROUND(1.7/4,1)+0.1</f>
        <v>0.5</v>
      </c>
      <c r="BD54" s="125">
        <v>5.7000000000000384</v>
      </c>
      <c r="BE54" s="141" t="s">
        <v>247</v>
      </c>
      <c r="BF54" s="379"/>
      <c r="BG54" s="368"/>
      <c r="BH54" s="335" t="str">
        <f ca="1">INDIRECT(ADDRESS(MATCH($B54,'【別紙1】標高（入力）'!$B:$B,0),'【別紙1】標高（入力）'!$N$2,4,TRUE,"【別紙1】標高（入力）"))</f>
        <v>H30</v>
      </c>
      <c r="BI54" s="342">
        <f ca="1">INDIRECT(ADDRESS(MATCH($B54,'【別紙1】標高（入力）'!$B:$B,0),'【別紙1】標高（入力）'!$O$2,4,TRUE,"【別紙1】標高（入力）"))</f>
        <v>6.9653</v>
      </c>
      <c r="BJ54" s="392"/>
    </row>
    <row r="55" spans="1:62" ht="15.95" customHeight="1">
      <c r="A55" s="119">
        <v>307</v>
      </c>
      <c r="B55" s="107" t="s">
        <v>379</v>
      </c>
      <c r="C55" s="114" t="s">
        <v>96</v>
      </c>
      <c r="D55" s="110" t="s">
        <v>656</v>
      </c>
      <c r="E55" s="109" t="s">
        <v>106</v>
      </c>
      <c r="F55" s="111" t="s">
        <v>9</v>
      </c>
      <c r="G55" s="112" t="s">
        <v>19</v>
      </c>
      <c r="H55" s="112" t="s">
        <v>541</v>
      </c>
      <c r="I55" s="112" t="s">
        <v>54</v>
      </c>
      <c r="J55" s="112" t="s">
        <v>264</v>
      </c>
      <c r="K55" s="222"/>
      <c r="L55" s="124">
        <v>48.3</v>
      </c>
      <c r="M55" s="124">
        <v>47.1</v>
      </c>
      <c r="N55" s="124">
        <v>36.6</v>
      </c>
      <c r="O55" s="124">
        <v>0.7</v>
      </c>
      <c r="P55" s="124">
        <v>21.6</v>
      </c>
      <c r="Q55" s="124">
        <v>29.2</v>
      </c>
      <c r="R55" s="124">
        <v>16</v>
      </c>
      <c r="S55" s="124">
        <v>3.1</v>
      </c>
      <c r="T55" s="124">
        <v>14.9</v>
      </c>
      <c r="U55" s="124">
        <v>7.6</v>
      </c>
      <c r="V55" s="124">
        <v>26.3</v>
      </c>
      <c r="W55" s="124">
        <v>44.5</v>
      </c>
      <c r="X55" s="124">
        <v>8.6999999999999993</v>
      </c>
      <c r="Y55" s="124">
        <v>-2</v>
      </c>
      <c r="Z55" s="124">
        <v>-0.2</v>
      </c>
      <c r="AA55" s="124">
        <v>12</v>
      </c>
      <c r="AB55" s="124">
        <v>-2.4</v>
      </c>
      <c r="AC55" s="124">
        <v>12.6</v>
      </c>
      <c r="AD55" s="124">
        <v>0.8</v>
      </c>
      <c r="AE55" s="124">
        <v>0.5</v>
      </c>
      <c r="AF55" s="124">
        <v>7.3</v>
      </c>
      <c r="AG55" s="124">
        <v>7.6</v>
      </c>
      <c r="AH55" s="123">
        <v>-1.4</v>
      </c>
      <c r="AI55" s="396">
        <v>11.1</v>
      </c>
      <c r="AJ55" s="124">
        <v>2.9</v>
      </c>
      <c r="AK55" s="124">
        <v>2.2000000000000002</v>
      </c>
      <c r="AL55" s="124">
        <v>1.5</v>
      </c>
      <c r="AM55" s="123">
        <v>7.10000000000033</v>
      </c>
      <c r="AN55" s="124">
        <v>-4.7</v>
      </c>
      <c r="AO55" s="122">
        <v>8.9</v>
      </c>
      <c r="AP55" s="126">
        <v>6.8</v>
      </c>
      <c r="AQ55" s="122">
        <v>2.4</v>
      </c>
      <c r="AR55" s="125">
        <v>4.3</v>
      </c>
      <c r="AS55" s="432">
        <f>ROUND(5.1/5,1)</f>
        <v>1</v>
      </c>
      <c r="AT55" s="432">
        <f t="shared" ref="AT55:AV55" si="55">ROUND(5.1/5,1)</f>
        <v>1</v>
      </c>
      <c r="AU55" s="432">
        <f t="shared" si="55"/>
        <v>1</v>
      </c>
      <c r="AV55" s="432">
        <f t="shared" si="55"/>
        <v>1</v>
      </c>
      <c r="AW55" s="432">
        <f>ROUND(5.1/5,1)+0.1</f>
        <v>1.1000000000000001</v>
      </c>
      <c r="AX55" s="122">
        <v>7.7</v>
      </c>
      <c r="AY55" s="432">
        <f>ROUND(-3.5/5,1)</f>
        <v>-0.7</v>
      </c>
      <c r="AZ55" s="432">
        <f>ROUND(-3.5/5,1)</f>
        <v>-0.7</v>
      </c>
      <c r="BA55" s="432">
        <f>ROUND(-3.5/5,1)</f>
        <v>-0.7</v>
      </c>
      <c r="BB55" s="432">
        <f>ROUND(-3.5/5,1)</f>
        <v>-0.7</v>
      </c>
      <c r="BC55" s="432">
        <f>ROUND(-3.5/5,1)</f>
        <v>-0.7</v>
      </c>
      <c r="BD55" s="125" t="s">
        <v>247</v>
      </c>
      <c r="BE55" s="142" t="s">
        <v>247</v>
      </c>
      <c r="BF55" s="379"/>
      <c r="BG55" s="368"/>
      <c r="BH55" s="335" t="str">
        <f ca="1">INDIRECT(ADDRESS(MATCH($B55,'【別紙1】標高（入力）'!$B:$B,0),'【別紙1】標高（入力）'!$N$2,4,TRUE,"【別紙1】標高（入力）"))</f>
        <v>H29</v>
      </c>
      <c r="BI55" s="342">
        <f ca="1">INDIRECT(ADDRESS(MATCH($B55,'【別紙1】標高（入力）'!$B:$B,0),'【別紙1】標高（入力）'!$O$2,4,TRUE,"【別紙1】標高（入力）"))</f>
        <v>6.0046999999999997</v>
      </c>
      <c r="BJ55" s="392"/>
    </row>
    <row r="56" spans="1:62" ht="15.95" customHeight="1">
      <c r="A56" s="119">
        <v>308</v>
      </c>
      <c r="B56" s="107" t="s">
        <v>377</v>
      </c>
      <c r="C56" s="114" t="s">
        <v>96</v>
      </c>
      <c r="D56" s="110" t="s">
        <v>107</v>
      </c>
      <c r="E56" s="109" t="s">
        <v>108</v>
      </c>
      <c r="F56" s="111" t="s">
        <v>9</v>
      </c>
      <c r="G56" s="112" t="s">
        <v>10</v>
      </c>
      <c r="H56" s="112" t="s">
        <v>541</v>
      </c>
      <c r="I56" s="112" t="s">
        <v>539</v>
      </c>
      <c r="J56" s="112" t="s">
        <v>264</v>
      </c>
      <c r="K56" s="224"/>
      <c r="L56" s="228"/>
      <c r="M56" s="221"/>
      <c r="N56" s="124">
        <v>19.399999999999999</v>
      </c>
      <c r="O56" s="124">
        <v>19</v>
      </c>
      <c r="P56" s="124">
        <v>29.6</v>
      </c>
      <c r="Q56" s="124">
        <v>29.7</v>
      </c>
      <c r="R56" s="124">
        <v>14.8</v>
      </c>
      <c r="S56" s="124">
        <v>1.3</v>
      </c>
      <c r="T56" s="124">
        <v>14.6</v>
      </c>
      <c r="U56" s="124">
        <v>5.0999999999999996</v>
      </c>
      <c r="V56" s="123">
        <v>35.6</v>
      </c>
      <c r="W56" s="411" t="s">
        <v>1270</v>
      </c>
      <c r="X56" s="127">
        <v>47.6</v>
      </c>
      <c r="Y56" s="124">
        <v>12</v>
      </c>
      <c r="Z56" s="124">
        <v>1.5</v>
      </c>
      <c r="AA56" s="124">
        <v>14.4</v>
      </c>
      <c r="AB56" s="124">
        <v>5.8</v>
      </c>
      <c r="AC56" s="124">
        <v>18.2</v>
      </c>
      <c r="AD56" s="124">
        <v>2.4</v>
      </c>
      <c r="AE56" s="124">
        <v>0.7</v>
      </c>
      <c r="AF56" s="124">
        <v>9.6</v>
      </c>
      <c r="AG56" s="124">
        <v>6.9</v>
      </c>
      <c r="AH56" s="123">
        <v>2.8</v>
      </c>
      <c r="AI56" s="396">
        <v>11.4</v>
      </c>
      <c r="AJ56" s="124">
        <v>2.2999999999999998</v>
      </c>
      <c r="AK56" s="124">
        <v>2.8</v>
      </c>
      <c r="AL56" s="123">
        <v>5.5</v>
      </c>
      <c r="AM56" s="123">
        <v>7.2000000000000997</v>
      </c>
      <c r="AN56" s="124">
        <v>-5.7</v>
      </c>
      <c r="AO56" s="122">
        <v>8.8000000000000007</v>
      </c>
      <c r="AP56" s="126">
        <v>5.8</v>
      </c>
      <c r="AQ56" s="122">
        <v>2.4</v>
      </c>
      <c r="AR56" s="125">
        <v>1.3</v>
      </c>
      <c r="AS56" s="125">
        <v>2.1</v>
      </c>
      <c r="AT56" s="432">
        <f>ROUND(5.9/4,1)</f>
        <v>1.5</v>
      </c>
      <c r="AU56" s="432">
        <f t="shared" ref="AU56:AV56" si="56">ROUND(5.9/4,1)</f>
        <v>1.5</v>
      </c>
      <c r="AV56" s="432">
        <f t="shared" si="56"/>
        <v>1.5</v>
      </c>
      <c r="AW56" s="432">
        <f>ROUND(5.9/4,1)-0.1</f>
        <v>1.4</v>
      </c>
      <c r="AX56" s="122">
        <v>7.5</v>
      </c>
      <c r="AY56" s="432">
        <f>ROUND(-2/2,1)</f>
        <v>-1</v>
      </c>
      <c r="AZ56" s="432">
        <f>ROUND(-2/2,1)</f>
        <v>-1</v>
      </c>
      <c r="BA56" s="432">
        <f>ROUND(1.6/3,1)</f>
        <v>0.5</v>
      </c>
      <c r="BB56" s="432">
        <f>ROUND(1.6/3,1)</f>
        <v>0.5</v>
      </c>
      <c r="BC56" s="432">
        <f>ROUND(1.6/3,1)+0.1</f>
        <v>0.6</v>
      </c>
      <c r="BD56" s="449">
        <f>ROUND(5.8/2,1)</f>
        <v>2.9</v>
      </c>
      <c r="BE56" s="451">
        <f>ROUND(5.8/2,1)</f>
        <v>2.9</v>
      </c>
      <c r="BF56" s="379"/>
      <c r="BG56" s="368"/>
      <c r="BH56" s="333" t="str">
        <f ca="1">INDIRECT(ADDRESS(MATCH($B56,'【別紙1】標高（入力）'!$B:$B,0),'【別紙1】標高（入力）'!$N$2,4,TRUE,"【別紙1】標高（入力）"))</f>
        <v>R4</v>
      </c>
      <c r="BI56" s="342">
        <f ca="1">INDIRECT(ADDRESS(MATCH($B56,'【別紙1】標高（入力）'!$B:$B,0),'【別紙1】標高（入力）'!$O$2,4,TRUE,"【別紙1】標高（入力）"))</f>
        <v>5.9050000000000002</v>
      </c>
      <c r="BJ56" s="392"/>
    </row>
    <row r="57" spans="1:62" ht="15.95" customHeight="1">
      <c r="A57" s="119">
        <v>309</v>
      </c>
      <c r="B57" s="107" t="s">
        <v>375</v>
      </c>
      <c r="C57" s="114" t="s">
        <v>96</v>
      </c>
      <c r="D57" s="110" t="s">
        <v>684</v>
      </c>
      <c r="E57" s="109" t="s">
        <v>109</v>
      </c>
      <c r="F57" s="111" t="s">
        <v>9</v>
      </c>
      <c r="G57" s="112" t="s">
        <v>19</v>
      </c>
      <c r="H57" s="112" t="s">
        <v>541</v>
      </c>
      <c r="I57" s="112" t="s">
        <v>54</v>
      </c>
      <c r="J57" s="112" t="s">
        <v>264</v>
      </c>
      <c r="K57" s="222"/>
      <c r="L57" s="124">
        <v>37.1</v>
      </c>
      <c r="M57" s="124">
        <v>27.3</v>
      </c>
      <c r="N57" s="123">
        <v>18.399999999999999</v>
      </c>
      <c r="O57" s="432">
        <f>ROUND(25.2/2,1)</f>
        <v>12.6</v>
      </c>
      <c r="P57" s="432">
        <f>ROUND(25.2/2,1)</f>
        <v>12.6</v>
      </c>
      <c r="Q57" s="416" t="s">
        <v>1270</v>
      </c>
      <c r="R57" s="127">
        <v>14.7</v>
      </c>
      <c r="S57" s="124">
        <v>-4.5999999999999996</v>
      </c>
      <c r="T57" s="124">
        <v>11.9</v>
      </c>
      <c r="U57" s="124">
        <v>5.5</v>
      </c>
      <c r="V57" s="124">
        <v>34.299999999999997</v>
      </c>
      <c r="W57" s="124">
        <v>49</v>
      </c>
      <c r="X57" s="124">
        <v>2.4</v>
      </c>
      <c r="Y57" s="124">
        <v>-5.2</v>
      </c>
      <c r="Z57" s="124">
        <v>-6.2</v>
      </c>
      <c r="AA57" s="124">
        <v>7.4</v>
      </c>
      <c r="AB57" s="124">
        <v>-5.0999999999999996</v>
      </c>
      <c r="AC57" s="124">
        <v>9.5</v>
      </c>
      <c r="AD57" s="124">
        <v>-2</v>
      </c>
      <c r="AE57" s="124">
        <v>-2.4</v>
      </c>
      <c r="AF57" s="124">
        <v>8</v>
      </c>
      <c r="AG57" s="124">
        <v>5.0999999999999996</v>
      </c>
      <c r="AH57" s="123">
        <v>-2.7</v>
      </c>
      <c r="AI57" s="396">
        <v>8.5</v>
      </c>
      <c r="AJ57" s="124">
        <v>1.4</v>
      </c>
      <c r="AK57" s="124">
        <v>5</v>
      </c>
      <c r="AL57" s="124">
        <v>2.2000000000000002</v>
      </c>
      <c r="AM57" s="123">
        <v>4.1999999999999797</v>
      </c>
      <c r="AN57" s="124">
        <v>-4.9000000000000004</v>
      </c>
      <c r="AO57" s="122">
        <v>7</v>
      </c>
      <c r="AP57" s="126">
        <v>6.7</v>
      </c>
      <c r="AQ57" s="122">
        <v>1.6</v>
      </c>
      <c r="AR57" s="125">
        <v>5.3</v>
      </c>
      <c r="AS57" s="125">
        <v>6.4</v>
      </c>
      <c r="AT57" s="432">
        <f>ROUND(5.3/4,1)</f>
        <v>1.3</v>
      </c>
      <c r="AU57" s="432">
        <f t="shared" ref="AU57:AV57" si="57">ROUND(5.3/4,1)</f>
        <v>1.3</v>
      </c>
      <c r="AV57" s="432">
        <f t="shared" si="57"/>
        <v>1.3</v>
      </c>
      <c r="AW57" s="432">
        <f>ROUND(5.3/4,1)+0.1</f>
        <v>1.4000000000000001</v>
      </c>
      <c r="AX57" s="122">
        <v>6.6</v>
      </c>
      <c r="AY57" s="432">
        <f>ROUND(-5.9/2,1)</f>
        <v>-3</v>
      </c>
      <c r="AZ57" s="432">
        <f>ROUND(-5.9/2,1)+0.1</f>
        <v>-2.9</v>
      </c>
      <c r="BA57" s="432">
        <f>ROUND(-1.5/3,1)</f>
        <v>-0.5</v>
      </c>
      <c r="BB57" s="432">
        <f>ROUND(-1.5/3,1)</f>
        <v>-0.5</v>
      </c>
      <c r="BC57" s="432">
        <f>ROUND(-1.5/3,1)</f>
        <v>-0.5</v>
      </c>
      <c r="BD57" s="449">
        <f>ROUND(2.9/2,1)</f>
        <v>1.5</v>
      </c>
      <c r="BE57" s="451">
        <f>ROUND(2.9/2,1)-0.1</f>
        <v>1.4</v>
      </c>
      <c r="BF57" s="379"/>
      <c r="BG57" s="368"/>
      <c r="BH57" s="333" t="str">
        <f ca="1">INDIRECT(ADDRESS(MATCH($B57,'【別紙1】標高（入力）'!$B:$B,0),'【別紙1】標高（入力）'!$N$2,4,TRUE,"【別紙1】標高（入力）"))</f>
        <v>R1</v>
      </c>
      <c r="BI57" s="342">
        <f ca="1">INDIRECT(ADDRESS(MATCH($B57,'【別紙1】標高（入力）'!$B:$B,0),'【別紙1】標高（入力）'!$O$2,4,TRUE,"【別紙1】標高（入力）"))</f>
        <v>4.8231999999999999</v>
      </c>
      <c r="BJ57" s="392"/>
    </row>
    <row r="58" spans="1:62" ht="15.95" customHeight="1">
      <c r="A58" s="119">
        <v>310</v>
      </c>
      <c r="B58" s="107" t="s">
        <v>1176</v>
      </c>
      <c r="C58" s="114" t="s">
        <v>96</v>
      </c>
      <c r="D58" s="110" t="s">
        <v>571</v>
      </c>
      <c r="E58" s="109" t="s">
        <v>111</v>
      </c>
      <c r="F58" s="111" t="s">
        <v>9</v>
      </c>
      <c r="G58" s="112" t="s">
        <v>10</v>
      </c>
      <c r="H58" s="112" t="s">
        <v>541</v>
      </c>
      <c r="I58" s="112" t="s">
        <v>539</v>
      </c>
      <c r="J58" s="112" t="s">
        <v>270</v>
      </c>
      <c r="K58" s="224"/>
      <c r="L58" s="228"/>
      <c r="M58" s="221"/>
      <c r="N58" s="123">
        <v>16.600000000000001</v>
      </c>
      <c r="O58" s="432">
        <f>ROUND(45.8/2,1)</f>
        <v>22.9</v>
      </c>
      <c r="P58" s="432">
        <f>ROUND(45.8/2,1)</f>
        <v>22.9</v>
      </c>
      <c r="Q58" s="127">
        <v>16</v>
      </c>
      <c r="R58" s="124">
        <v>9</v>
      </c>
      <c r="S58" s="124">
        <v>3.8</v>
      </c>
      <c r="T58" s="123">
        <v>9</v>
      </c>
      <c r="U58" s="411" t="s">
        <v>47</v>
      </c>
      <c r="V58" s="127">
        <v>13.8</v>
      </c>
      <c r="W58" s="124">
        <v>27.3</v>
      </c>
      <c r="X58" s="124">
        <v>4.3</v>
      </c>
      <c r="Y58" s="124">
        <v>-8.1999999999999993</v>
      </c>
      <c r="Z58" s="124">
        <v>11.6</v>
      </c>
      <c r="AA58" s="124">
        <v>7.4</v>
      </c>
      <c r="AB58" s="124">
        <v>0.4</v>
      </c>
      <c r="AC58" s="124">
        <v>10.7</v>
      </c>
      <c r="AD58" s="124">
        <v>-0.5</v>
      </c>
      <c r="AE58" s="124">
        <v>0.3</v>
      </c>
      <c r="AF58" s="124">
        <v>7.2</v>
      </c>
      <c r="AG58" s="124">
        <v>7</v>
      </c>
      <c r="AH58" s="123">
        <v>-2.5</v>
      </c>
      <c r="AI58" s="396">
        <v>11.6</v>
      </c>
      <c r="AJ58" s="124">
        <v>-0.2</v>
      </c>
      <c r="AK58" s="124">
        <v>2</v>
      </c>
      <c r="AL58" s="123">
        <v>6.7</v>
      </c>
      <c r="AM58" s="123">
        <v>5.2000000000003199</v>
      </c>
      <c r="AN58" s="124">
        <v>-7</v>
      </c>
      <c r="AO58" s="122">
        <v>11</v>
      </c>
      <c r="AP58" s="125">
        <v>6.6</v>
      </c>
      <c r="AQ58" s="432">
        <f>ROUND(2.1/2,1)</f>
        <v>1.1000000000000001</v>
      </c>
      <c r="AR58" s="432">
        <f>ROUND(2.1/2,1)-0.1</f>
        <v>1</v>
      </c>
      <c r="AS58" s="432">
        <f>ROUND(3.9/3,1)</f>
        <v>1.3</v>
      </c>
      <c r="AT58" s="432">
        <f>ROUND(3.9/3,1)</f>
        <v>1.3</v>
      </c>
      <c r="AU58" s="432">
        <f>ROUND(3.9/3,1)</f>
        <v>1.3</v>
      </c>
      <c r="AV58" s="121">
        <v>3.5</v>
      </c>
      <c r="AW58" s="125">
        <v>2.4</v>
      </c>
      <c r="AX58" s="125">
        <v>4.4000000000000004</v>
      </c>
      <c r="AY58" s="432">
        <f>ROUND(-2.1/2,1)</f>
        <v>-1.1000000000000001</v>
      </c>
      <c r="AZ58" s="432">
        <f>ROUND(-2.1/2,1)+0.1</f>
        <v>-1</v>
      </c>
      <c r="BA58" s="432">
        <f>ROUND(6.4/3,1)</f>
        <v>2.1</v>
      </c>
      <c r="BB58" s="432">
        <f>ROUND(6.4/3,1)</f>
        <v>2.1</v>
      </c>
      <c r="BC58" s="432">
        <f>ROUND(6.4/3,1)+0.1</f>
        <v>2.2000000000000002</v>
      </c>
      <c r="BD58" s="449">
        <f>ROUND(11.8/2,1)</f>
        <v>5.9</v>
      </c>
      <c r="BE58" s="451">
        <f>ROUND(11.8/2,1)</f>
        <v>5.9</v>
      </c>
      <c r="BF58" s="379"/>
      <c r="BG58" s="368"/>
      <c r="BH58" s="335" t="str">
        <f ca="1">INDIRECT(ADDRESS(MATCH($B58,'【別紙1】標高（入力）'!$B:$B,0),'【別紙1】標高（入力）'!$N$2,4,TRUE,"【別紙1】標高（入力）"))</f>
        <v>R5</v>
      </c>
      <c r="BI58" s="342">
        <f ca="1">INDIRECT(ADDRESS(MATCH($B58,'【別紙1】標高（入力）'!$B:$B,0),'【別紙1】標高（入力）'!$O$2,4,TRUE,"【別紙1】標高（入力）"))</f>
        <v>10.768700000000001</v>
      </c>
      <c r="BJ58" s="392"/>
    </row>
    <row r="59" spans="1:62" ht="15.95" customHeight="1">
      <c r="A59" s="119">
        <v>311</v>
      </c>
      <c r="B59" s="107" t="s">
        <v>405</v>
      </c>
      <c r="C59" s="114" t="s">
        <v>96</v>
      </c>
      <c r="D59" s="110" t="s">
        <v>710</v>
      </c>
      <c r="E59" s="109" t="s">
        <v>113</v>
      </c>
      <c r="F59" s="111" t="s">
        <v>9</v>
      </c>
      <c r="G59" s="112" t="s">
        <v>10</v>
      </c>
      <c r="H59" s="112" t="s">
        <v>541</v>
      </c>
      <c r="I59" s="112" t="s">
        <v>539</v>
      </c>
      <c r="J59" s="112" t="s">
        <v>270</v>
      </c>
      <c r="K59" s="224"/>
      <c r="L59" s="228"/>
      <c r="M59" s="221"/>
      <c r="N59" s="124">
        <v>12.4</v>
      </c>
      <c r="O59" s="124">
        <v>-0.4</v>
      </c>
      <c r="P59" s="124">
        <v>14.1</v>
      </c>
      <c r="Q59" s="124">
        <v>13.3</v>
      </c>
      <c r="R59" s="124">
        <v>2.2999999999999998</v>
      </c>
      <c r="S59" s="124">
        <v>-2.2000000000000002</v>
      </c>
      <c r="T59" s="124">
        <v>10.199999999999999</v>
      </c>
      <c r="U59" s="124">
        <v>3.5</v>
      </c>
      <c r="V59" s="124">
        <v>12.7</v>
      </c>
      <c r="W59" s="124">
        <v>31.2</v>
      </c>
      <c r="X59" s="124">
        <v>5.2</v>
      </c>
      <c r="Y59" s="124">
        <v>-7.7</v>
      </c>
      <c r="Z59" s="124">
        <v>6.6</v>
      </c>
      <c r="AA59" s="124">
        <v>5.7</v>
      </c>
      <c r="AB59" s="124">
        <v>-1.8</v>
      </c>
      <c r="AC59" s="124">
        <v>8.8000000000000007</v>
      </c>
      <c r="AD59" s="124">
        <v>-2.2000000000000002</v>
      </c>
      <c r="AE59" s="124">
        <v>-2.4</v>
      </c>
      <c r="AF59" s="124">
        <v>6.7</v>
      </c>
      <c r="AG59" s="124">
        <v>5.7</v>
      </c>
      <c r="AH59" s="123">
        <v>-1.6</v>
      </c>
      <c r="AI59" s="125">
        <v>9.4</v>
      </c>
      <c r="AJ59" s="124">
        <v>-2.7</v>
      </c>
      <c r="AK59" s="124">
        <v>2</v>
      </c>
      <c r="AL59" s="123">
        <v>4.5999999999999996</v>
      </c>
      <c r="AM59" s="123">
        <v>5.1000000000005503</v>
      </c>
      <c r="AN59" s="124">
        <v>-7</v>
      </c>
      <c r="AO59" s="122">
        <v>9.4</v>
      </c>
      <c r="AP59" s="125">
        <v>4.5</v>
      </c>
      <c r="AQ59" s="432">
        <f>ROUND(2/2,1)</f>
        <v>1</v>
      </c>
      <c r="AR59" s="432">
        <f>ROUND(2/2,1)</f>
        <v>1</v>
      </c>
      <c r="AS59" s="432">
        <f>ROUND(0/3,1)</f>
        <v>0</v>
      </c>
      <c r="AT59" s="432">
        <f>ROUND(0/3,1)</f>
        <v>0</v>
      </c>
      <c r="AU59" s="432">
        <f>ROUND(0/3,1)</f>
        <v>0</v>
      </c>
      <c r="AV59" s="121">
        <v>1.9</v>
      </c>
      <c r="AW59" s="125">
        <v>-1.2</v>
      </c>
      <c r="AX59" s="125">
        <v>7.9</v>
      </c>
      <c r="AY59" s="432">
        <f>ROUND(0.5/5,1)</f>
        <v>0.1</v>
      </c>
      <c r="AZ59" s="432">
        <f>ROUND(0.5/5,1)</f>
        <v>0.1</v>
      </c>
      <c r="BA59" s="432">
        <f>ROUND(0.5/5,1)</f>
        <v>0.1</v>
      </c>
      <c r="BB59" s="432">
        <f>ROUND(0.5/5,1)</f>
        <v>0.1</v>
      </c>
      <c r="BC59" s="432">
        <f>ROUND(0.5/5,1)</f>
        <v>0.1</v>
      </c>
      <c r="BD59" s="125" t="s">
        <v>247</v>
      </c>
      <c r="BE59" s="142" t="s">
        <v>247</v>
      </c>
      <c r="BF59" s="379"/>
      <c r="BG59" s="368"/>
      <c r="BH59" s="335" t="str">
        <f ca="1">INDIRECT(ADDRESS(MATCH($B59,'【別紙1】標高（入力）'!$B:$B,0),'【別紙1】標高（入力）'!$N$2,4,TRUE,"【別紙1】標高（入力）"))</f>
        <v>R5</v>
      </c>
      <c r="BI59" s="342">
        <f ca="1">INDIRECT(ADDRESS(MATCH($B59,'【別紙1】標高（入力）'!$B:$B,0),'【別紙1】標高（入力）'!$O$2,4,TRUE,"【別紙1】標高（入力）"))</f>
        <v>10.1693</v>
      </c>
      <c r="BJ59" s="392"/>
    </row>
    <row r="60" spans="1:62" ht="15.95" customHeight="1">
      <c r="A60" s="119">
        <v>312</v>
      </c>
      <c r="B60" s="107" t="s">
        <v>436</v>
      </c>
      <c r="C60" s="114" t="s">
        <v>96</v>
      </c>
      <c r="D60" s="110" t="s">
        <v>559</v>
      </c>
      <c r="E60" s="109" t="s">
        <v>114</v>
      </c>
      <c r="F60" s="111" t="s">
        <v>9</v>
      </c>
      <c r="G60" s="112" t="s">
        <v>10</v>
      </c>
      <c r="H60" s="112" t="s">
        <v>541</v>
      </c>
      <c r="I60" s="112" t="s">
        <v>1281</v>
      </c>
      <c r="J60" s="112" t="s">
        <v>270</v>
      </c>
      <c r="K60" s="224"/>
      <c r="L60" s="228"/>
      <c r="M60" s="221"/>
      <c r="N60" s="123">
        <v>6.3</v>
      </c>
      <c r="O60" s="432">
        <f>ROUND(19.4/2,1)</f>
        <v>9.6999999999999993</v>
      </c>
      <c r="P60" s="432">
        <f>ROUND(19.4/2,1)</f>
        <v>9.6999999999999993</v>
      </c>
      <c r="Q60" s="127">
        <v>9.1</v>
      </c>
      <c r="R60" s="124">
        <v>3.5</v>
      </c>
      <c r="S60" s="124">
        <v>1.7</v>
      </c>
      <c r="T60" s="124">
        <v>6</v>
      </c>
      <c r="U60" s="124">
        <v>4.4000000000000004</v>
      </c>
      <c r="V60" s="124">
        <v>5</v>
      </c>
      <c r="W60" s="124">
        <v>11.3</v>
      </c>
      <c r="X60" s="124">
        <v>-0.5</v>
      </c>
      <c r="Y60" s="124">
        <v>-10.5</v>
      </c>
      <c r="Z60" s="124">
        <v>11.6</v>
      </c>
      <c r="AA60" s="124">
        <v>5.7</v>
      </c>
      <c r="AB60" s="124">
        <v>-0.4</v>
      </c>
      <c r="AC60" s="124">
        <v>10.199999999999999</v>
      </c>
      <c r="AD60" s="124">
        <v>-0.4</v>
      </c>
      <c r="AE60" s="124">
        <v>0.2</v>
      </c>
      <c r="AF60" s="124">
        <v>6.6</v>
      </c>
      <c r="AG60" s="124">
        <v>6.5</v>
      </c>
      <c r="AH60" s="123">
        <v>-5.2</v>
      </c>
      <c r="AI60" s="125">
        <v>10.8</v>
      </c>
      <c r="AJ60" s="124">
        <v>-1.8</v>
      </c>
      <c r="AK60" s="124">
        <v>-0.2</v>
      </c>
      <c r="AL60" s="123">
        <v>7.8</v>
      </c>
      <c r="AM60" s="123">
        <v>2.9000000000003499</v>
      </c>
      <c r="AN60" s="124">
        <v>-6.6</v>
      </c>
      <c r="AO60" s="122">
        <v>12.4</v>
      </c>
      <c r="AP60" s="125">
        <v>5.3</v>
      </c>
      <c r="AQ60" s="432">
        <f>ROUND(5.2/3,1)</f>
        <v>1.7</v>
      </c>
      <c r="AR60" s="432">
        <f>ROUND(5.2/3,1)</f>
        <v>1.7</v>
      </c>
      <c r="AS60" s="432">
        <f>ROUND(5.2/3,1)+0.1</f>
        <v>1.8</v>
      </c>
      <c r="AT60" s="122">
        <v>5.0999999999999996</v>
      </c>
      <c r="AU60" s="432">
        <f>ROUND(8.5/5,1)</f>
        <v>1.7</v>
      </c>
      <c r="AV60" s="432">
        <f t="shared" ref="AV60:AY60" si="58">ROUND(8.5/5,1)</f>
        <v>1.7</v>
      </c>
      <c r="AW60" s="432">
        <f t="shared" si="58"/>
        <v>1.7</v>
      </c>
      <c r="AX60" s="432">
        <f t="shared" si="58"/>
        <v>1.7</v>
      </c>
      <c r="AY60" s="432">
        <f t="shared" si="58"/>
        <v>1.7</v>
      </c>
      <c r="AZ60" s="432">
        <f>ROUND(-0.5/5,1)</f>
        <v>-0.1</v>
      </c>
      <c r="BA60" s="432">
        <f>ROUND(-0.5/5,1)</f>
        <v>-0.1</v>
      </c>
      <c r="BB60" s="432">
        <f>ROUND(-0.5/5,1)</f>
        <v>-0.1</v>
      </c>
      <c r="BC60" s="432">
        <f>ROUND(-0.5/5,1)</f>
        <v>-0.1</v>
      </c>
      <c r="BD60" s="429">
        <f>ROUND(-0.5/5,1)</f>
        <v>-0.1</v>
      </c>
      <c r="BE60" s="141" t="s">
        <v>247</v>
      </c>
      <c r="BF60" s="431"/>
      <c r="BG60" s="368"/>
      <c r="BH60" s="333" t="str">
        <f ca="1">INDIRECT(ADDRESS(MATCH($B60,'【別紙1】標高（入力）'!$B:$B,0),'【別紙1】標高（入力）'!$N$2,4,TRUE,"【別紙1】標高（入力）"))</f>
        <v>R5</v>
      </c>
      <c r="BI60" s="340">
        <f ca="1">INDIRECT(ADDRESS(MATCH($B60,'【別紙1】標高（入力）'!$B:$B,0),'【別紙1】標高（入力）'!$O$2,4,TRUE,"【別紙1】標高（入力）"))</f>
        <v>11.8337</v>
      </c>
      <c r="BJ60" s="392"/>
    </row>
    <row r="61" spans="1:62" ht="15.95" customHeight="1">
      <c r="A61" s="119">
        <v>313</v>
      </c>
      <c r="B61" s="107" t="s">
        <v>407</v>
      </c>
      <c r="C61" s="114" t="s">
        <v>96</v>
      </c>
      <c r="D61" s="110" t="s">
        <v>700</v>
      </c>
      <c r="E61" s="109" t="s">
        <v>116</v>
      </c>
      <c r="F61" s="111" t="s">
        <v>9</v>
      </c>
      <c r="G61" s="112" t="s">
        <v>10</v>
      </c>
      <c r="H61" s="112" t="s">
        <v>541</v>
      </c>
      <c r="I61" s="112" t="s">
        <v>54</v>
      </c>
      <c r="J61" s="112" t="s">
        <v>270</v>
      </c>
      <c r="K61" s="224"/>
      <c r="L61" s="228"/>
      <c r="M61" s="221"/>
      <c r="N61" s="124">
        <v>16.5</v>
      </c>
      <c r="O61" s="124">
        <v>1.4</v>
      </c>
      <c r="P61" s="124">
        <v>53.8</v>
      </c>
      <c r="Q61" s="124">
        <v>75.400000000000006</v>
      </c>
      <c r="R61" s="124">
        <v>18.7</v>
      </c>
      <c r="S61" s="124">
        <v>12.3</v>
      </c>
      <c r="T61" s="124">
        <v>43.5</v>
      </c>
      <c r="U61" s="124">
        <v>51.6</v>
      </c>
      <c r="V61" s="123">
        <v>67.5</v>
      </c>
      <c r="W61" s="415" t="s">
        <v>47</v>
      </c>
      <c r="X61" s="233" t="s">
        <v>1270</v>
      </c>
      <c r="Y61" s="432">
        <f>ROUND(47.1/4,1)</f>
        <v>11.8</v>
      </c>
      <c r="Z61" s="432">
        <f>ROUND(47.1/4,1)</f>
        <v>11.8</v>
      </c>
      <c r="AA61" s="432">
        <f>ROUND(47.1/4,1)</f>
        <v>11.8</v>
      </c>
      <c r="AB61" s="432">
        <f>ROUND(47.1/4,1)-0.1</f>
        <v>11.700000000000001</v>
      </c>
      <c r="AC61" s="432">
        <f>ROUND(19.5/3,1)</f>
        <v>6.5</v>
      </c>
      <c r="AD61" s="432">
        <f>ROUND(19.5/3,1)</f>
        <v>6.5</v>
      </c>
      <c r="AE61" s="432">
        <f>ROUND(19.5/3,1)</f>
        <v>6.5</v>
      </c>
      <c r="AF61" s="432">
        <f>ROUND(24.2/3,1)</f>
        <v>8.1</v>
      </c>
      <c r="AG61" s="432">
        <f>ROUND(24.2/3,1)</f>
        <v>8.1</v>
      </c>
      <c r="AH61" s="432">
        <f>ROUND(24.2/3,1)-0.1</f>
        <v>8</v>
      </c>
      <c r="AI61" s="432">
        <f>ROUND(33.5/6,1)</f>
        <v>5.6</v>
      </c>
      <c r="AJ61" s="432">
        <f t="shared" ref="AJ61:AM61" si="59">ROUND(33.5/6,1)</f>
        <v>5.6</v>
      </c>
      <c r="AK61" s="432">
        <f t="shared" si="59"/>
        <v>5.6</v>
      </c>
      <c r="AL61" s="432">
        <f t="shared" si="59"/>
        <v>5.6</v>
      </c>
      <c r="AM61" s="432">
        <f t="shared" si="59"/>
        <v>5.6</v>
      </c>
      <c r="AN61" s="432">
        <f>ROUND(33.5/6,1)-0.1</f>
        <v>5.5</v>
      </c>
      <c r="AO61" s="432">
        <f>ROUND(47.5/5,1)</f>
        <v>9.5</v>
      </c>
      <c r="AP61" s="432">
        <f t="shared" ref="AP61:AS61" si="60">ROUND(47.5/5,1)</f>
        <v>9.5</v>
      </c>
      <c r="AQ61" s="432">
        <f t="shared" si="60"/>
        <v>9.5</v>
      </c>
      <c r="AR61" s="432">
        <f t="shared" si="60"/>
        <v>9.5</v>
      </c>
      <c r="AS61" s="432">
        <f t="shared" si="60"/>
        <v>9.5</v>
      </c>
      <c r="AT61" s="122">
        <v>13.3</v>
      </c>
      <c r="AU61" s="432">
        <f>ROUND(40.6/2,1)</f>
        <v>20.3</v>
      </c>
      <c r="AV61" s="432">
        <f>ROUND(40.6/2,1)</f>
        <v>20.3</v>
      </c>
      <c r="AW61" s="122">
        <v>16.2</v>
      </c>
      <c r="AX61" s="432">
        <f>ROUND(15.6/3,1)</f>
        <v>5.2</v>
      </c>
      <c r="AY61" s="432">
        <f>ROUND(15.6/3,1)</f>
        <v>5.2</v>
      </c>
      <c r="AZ61" s="432">
        <f>ROUND(15.6/3,1)</f>
        <v>5.2</v>
      </c>
      <c r="BA61" s="429">
        <f>ROUND(35.3/5,1)</f>
        <v>7.1</v>
      </c>
      <c r="BB61" s="417">
        <f>ROUND(35.3/5,1)</f>
        <v>7.1</v>
      </c>
      <c r="BC61" s="417">
        <f>ROUND(35.3/5,1)</f>
        <v>7.1</v>
      </c>
      <c r="BD61" s="417">
        <f>ROUND(35.3/5,1)-0.1</f>
        <v>7</v>
      </c>
      <c r="BE61" s="450">
        <f>ROUND(35.3/5,1)-0.1</f>
        <v>7</v>
      </c>
      <c r="BF61" s="379"/>
      <c r="BG61" s="368"/>
      <c r="BH61" s="333" t="str">
        <f ca="1">INDIRECT(ADDRESS(MATCH($B61,'【別紙1】標高（入力）'!$B:$B,0),'【別紙1】標高（入力）'!$N$2,4,TRUE,"【別紙1】標高（入力）"))</f>
        <v>R4</v>
      </c>
      <c r="BI61" s="340">
        <f ca="1">INDIRECT(ADDRESS(MATCH($B61,'【別紙1】標高（入力）'!$B:$B,0),'【別紙1】標高（入力）'!$O$2,4,TRUE,"【別紙1】標高（入力）"))</f>
        <v>6.2317999999999998</v>
      </c>
      <c r="BJ61" s="392"/>
    </row>
    <row r="62" spans="1:62" s="231" customFormat="1" ht="15.95" customHeight="1">
      <c r="A62" s="214">
        <v>314</v>
      </c>
      <c r="B62" s="215" t="s">
        <v>437</v>
      </c>
      <c r="C62" s="216" t="s">
        <v>96</v>
      </c>
      <c r="D62" s="217" t="s">
        <v>638</v>
      </c>
      <c r="E62" s="218" t="s">
        <v>299</v>
      </c>
      <c r="F62" s="219" t="s">
        <v>9</v>
      </c>
      <c r="G62" s="220" t="s">
        <v>31</v>
      </c>
      <c r="H62" s="220" t="s">
        <v>541</v>
      </c>
      <c r="I62" s="220" t="s">
        <v>54</v>
      </c>
      <c r="J62" s="220" t="s">
        <v>270</v>
      </c>
      <c r="K62" s="224"/>
      <c r="L62" s="228"/>
      <c r="M62" s="228"/>
      <c r="N62" s="228"/>
      <c r="O62" s="228"/>
      <c r="P62" s="221"/>
      <c r="Q62" s="124">
        <v>15.5</v>
      </c>
      <c r="R62" s="124">
        <v>37.299999999999997</v>
      </c>
      <c r="S62" s="124">
        <v>15.5</v>
      </c>
      <c r="T62" s="124">
        <v>36</v>
      </c>
      <c r="U62" s="124">
        <v>22.6</v>
      </c>
      <c r="V62" s="123">
        <v>45.6</v>
      </c>
      <c r="W62" s="432">
        <f>ROUND(155.5/6,1)</f>
        <v>25.9</v>
      </c>
      <c r="X62" s="432">
        <f t="shared" ref="X62:AA62" si="61">ROUND(155.5/6,1)</f>
        <v>25.9</v>
      </c>
      <c r="Y62" s="432">
        <f t="shared" si="61"/>
        <v>25.9</v>
      </c>
      <c r="Z62" s="432">
        <f t="shared" si="61"/>
        <v>25.9</v>
      </c>
      <c r="AA62" s="432">
        <f t="shared" si="61"/>
        <v>25.9</v>
      </c>
      <c r="AB62" s="432">
        <f>ROUND(155.5/6,1)+0.1</f>
        <v>26</v>
      </c>
      <c r="AC62" s="432">
        <f>ROUND(20.5/3,1)</f>
        <v>6.8</v>
      </c>
      <c r="AD62" s="432">
        <f>ROUND(20.5/3,1)</f>
        <v>6.8</v>
      </c>
      <c r="AE62" s="432">
        <f>ROUND(20.5/3,1)+0.1</f>
        <v>6.8999999999999995</v>
      </c>
      <c r="AF62" s="432">
        <f>ROUND(41.5/3,1)</f>
        <v>13.8</v>
      </c>
      <c r="AG62" s="432">
        <f>ROUND(41.5/3,1)</f>
        <v>13.8</v>
      </c>
      <c r="AH62" s="432">
        <f>ROUND(41.5/3,1)+0.1</f>
        <v>13.9</v>
      </c>
      <c r="AI62" s="228" t="s">
        <v>247</v>
      </c>
      <c r="AJ62" s="228"/>
      <c r="AK62" s="228"/>
      <c r="AL62" s="228"/>
      <c r="AM62" s="228"/>
      <c r="AN62" s="232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30"/>
      <c r="BF62" s="387"/>
      <c r="BG62" s="386"/>
      <c r="BH62" s="336" t="s">
        <v>529</v>
      </c>
      <c r="BI62" s="344" t="s">
        <v>1189</v>
      </c>
      <c r="BJ62" s="393" t="s">
        <v>723</v>
      </c>
    </row>
    <row r="63" spans="1:62" ht="15.95" customHeight="1">
      <c r="A63" s="119">
        <v>315</v>
      </c>
      <c r="B63" s="107" t="s">
        <v>439</v>
      </c>
      <c r="C63" s="114" t="s">
        <v>96</v>
      </c>
      <c r="D63" s="110" t="s">
        <v>329</v>
      </c>
      <c r="E63" s="109" t="s">
        <v>299</v>
      </c>
      <c r="F63" s="111" t="s">
        <v>9</v>
      </c>
      <c r="G63" s="112" t="s">
        <v>31</v>
      </c>
      <c r="H63" s="112" t="s">
        <v>64</v>
      </c>
      <c r="I63" s="112" t="s">
        <v>539</v>
      </c>
      <c r="J63" s="112" t="s">
        <v>270</v>
      </c>
      <c r="K63" s="224"/>
      <c r="L63" s="228"/>
      <c r="M63" s="228"/>
      <c r="N63" s="228"/>
      <c r="O63" s="228"/>
      <c r="P63" s="221"/>
      <c r="Q63" s="124">
        <v>16.899999999999999</v>
      </c>
      <c r="R63" s="124">
        <v>3.7</v>
      </c>
      <c r="S63" s="124">
        <v>-6.9</v>
      </c>
      <c r="T63" s="124">
        <v>5.3</v>
      </c>
      <c r="U63" s="124">
        <v>-1</v>
      </c>
      <c r="V63" s="123">
        <v>4.7</v>
      </c>
      <c r="W63" s="432">
        <f>ROUND(54.9/6,1)</f>
        <v>9.1999999999999993</v>
      </c>
      <c r="X63" s="432">
        <f t="shared" ref="X63:Y63" si="62">ROUND(54.9/6,1)</f>
        <v>9.1999999999999993</v>
      </c>
      <c r="Y63" s="432">
        <f t="shared" si="62"/>
        <v>9.1999999999999993</v>
      </c>
      <c r="Z63" s="432">
        <f>ROUND(54.9/6,1)-0.1</f>
        <v>9.1</v>
      </c>
      <c r="AA63" s="432">
        <f>ROUND(54.9/6,1)-0.1</f>
        <v>9.1</v>
      </c>
      <c r="AB63" s="432">
        <f>ROUND(54.9/6,1)-0.1</f>
        <v>9.1</v>
      </c>
      <c r="AC63" s="432">
        <f>ROUND(13.4/3,1)</f>
        <v>4.5</v>
      </c>
      <c r="AD63" s="432">
        <f>ROUND(13.4/3,1)</f>
        <v>4.5</v>
      </c>
      <c r="AE63" s="432">
        <f>ROUND(13.4/3,1)-0.1</f>
        <v>4.4000000000000004</v>
      </c>
      <c r="AF63" s="432">
        <f>ROUND(14.7/3,1)</f>
        <v>4.9000000000000004</v>
      </c>
      <c r="AG63" s="432">
        <f>ROUND(14.7/3,1)</f>
        <v>4.9000000000000004</v>
      </c>
      <c r="AH63" s="432">
        <f>ROUND(14.7/3,1)</f>
        <v>4.9000000000000004</v>
      </c>
      <c r="AI63" s="432">
        <f>ROUND(16.7/6,1)</f>
        <v>2.8</v>
      </c>
      <c r="AJ63" s="432">
        <f t="shared" ref="AJ63:AM63" si="63">ROUND(16.7/6,1)</f>
        <v>2.8</v>
      </c>
      <c r="AK63" s="432">
        <f t="shared" si="63"/>
        <v>2.8</v>
      </c>
      <c r="AL63" s="432">
        <f t="shared" si="63"/>
        <v>2.8</v>
      </c>
      <c r="AM63" s="432">
        <f t="shared" si="63"/>
        <v>2.8</v>
      </c>
      <c r="AN63" s="432">
        <f>ROUND(16.7/6,1)-0.1</f>
        <v>2.6999999999999997</v>
      </c>
      <c r="AO63" s="432">
        <f>ROUND(22.3/5,1)</f>
        <v>4.5</v>
      </c>
      <c r="AP63" s="432">
        <f t="shared" ref="AP63:AQ63" si="64">ROUND(22.3/5,1)</f>
        <v>4.5</v>
      </c>
      <c r="AQ63" s="432">
        <f t="shared" si="64"/>
        <v>4.5</v>
      </c>
      <c r="AR63" s="432">
        <f>ROUND(22.3/5,1)-0.1</f>
        <v>4.4000000000000004</v>
      </c>
      <c r="AS63" s="432">
        <f>ROUND(22.3/5,1)-0.1</f>
        <v>4.4000000000000004</v>
      </c>
      <c r="AT63" s="122">
        <v>2.5</v>
      </c>
      <c r="AU63" s="125">
        <v>-0.6</v>
      </c>
      <c r="AV63" s="125">
        <v>4.7</v>
      </c>
      <c r="AW63" s="432">
        <f>ROUND(1.8/4,1)</f>
        <v>0.5</v>
      </c>
      <c r="AX63" s="432">
        <f>ROUND(1.8/4,1)</f>
        <v>0.5</v>
      </c>
      <c r="AY63" s="432">
        <f>ROUND(1.8/4,1)-0.1</f>
        <v>0.4</v>
      </c>
      <c r="AZ63" s="432">
        <f>ROUND(1.8/4,1)-0.1</f>
        <v>0.4</v>
      </c>
      <c r="BA63" s="429">
        <f>ROUND(14/5,1)</f>
        <v>2.8</v>
      </c>
      <c r="BB63" s="417">
        <f>ROUND(14/5,1)</f>
        <v>2.8</v>
      </c>
      <c r="BC63" s="417">
        <f>ROUND(14/5,1)</f>
        <v>2.8</v>
      </c>
      <c r="BD63" s="417">
        <f>ROUND(14/5,1)</f>
        <v>2.8</v>
      </c>
      <c r="BE63" s="450">
        <f>ROUND(14/5,1)</f>
        <v>2.8</v>
      </c>
      <c r="BF63" s="379"/>
      <c r="BG63" s="368"/>
      <c r="BH63" s="333" t="str">
        <f ca="1">INDIRECT(ADDRESS(MATCH($B63,'【別紙1】標高（入力）'!$B:$B,0),'【別紙1】標高（入力）'!$N$2,4,TRUE,"【別紙1】標高（入力）"))</f>
        <v>R1</v>
      </c>
      <c r="BI63" s="340">
        <f ca="1">INDIRECT(ADDRESS(MATCH($B63,'【別紙1】標高（入力）'!$B:$B,0),'【別紙1】標高（入力）'!$O$2,4,TRUE,"【別紙1】標高（入力）"))</f>
        <v>4.1002999999999998</v>
      </c>
      <c r="BJ63" s="392"/>
    </row>
    <row r="64" spans="1:62" ht="15.95" customHeight="1">
      <c r="A64" s="119">
        <v>316</v>
      </c>
      <c r="B64" s="107" t="s">
        <v>441</v>
      </c>
      <c r="C64" s="114" t="s">
        <v>96</v>
      </c>
      <c r="D64" s="110" t="s">
        <v>329</v>
      </c>
      <c r="E64" s="109" t="s">
        <v>276</v>
      </c>
      <c r="F64" s="111" t="s">
        <v>9</v>
      </c>
      <c r="G64" s="112" t="s">
        <v>31</v>
      </c>
      <c r="H64" s="112" t="s">
        <v>64</v>
      </c>
      <c r="I64" s="112" t="s">
        <v>539</v>
      </c>
      <c r="J64" s="112" t="s">
        <v>270</v>
      </c>
      <c r="K64" s="224"/>
      <c r="L64" s="228"/>
      <c r="M64" s="228"/>
      <c r="N64" s="228"/>
      <c r="O64" s="228"/>
      <c r="P64" s="221"/>
      <c r="Q64" s="124">
        <v>43.2</v>
      </c>
      <c r="R64" s="124">
        <v>26.8</v>
      </c>
      <c r="S64" s="124">
        <v>-6.4</v>
      </c>
      <c r="T64" s="124">
        <v>17.399999999999999</v>
      </c>
      <c r="U64" s="123">
        <v>14.1</v>
      </c>
      <c r="V64" s="411" t="s">
        <v>1270</v>
      </c>
      <c r="W64" s="228"/>
      <c r="X64" s="228"/>
      <c r="Y64" s="221"/>
      <c r="Z64" s="233" t="s">
        <v>20</v>
      </c>
      <c r="AA64" s="228"/>
      <c r="AB64" s="228"/>
      <c r="AC64" s="228"/>
      <c r="AD64" s="228"/>
      <c r="AE64" s="228"/>
      <c r="AF64" s="228"/>
      <c r="AG64" s="228"/>
      <c r="AH64" s="228"/>
      <c r="AI64" s="138" t="s">
        <v>260</v>
      </c>
      <c r="AJ64" s="228"/>
      <c r="AK64" s="228"/>
      <c r="AL64" s="228"/>
      <c r="AM64" s="228"/>
      <c r="AN64" s="139" t="s">
        <v>256</v>
      </c>
      <c r="AO64" s="432">
        <f>ROUND(24.8/5,1)</f>
        <v>5</v>
      </c>
      <c r="AP64" s="432">
        <f t="shared" ref="AP64:AQ64" si="65">ROUND(24.8/5,1)</f>
        <v>5</v>
      </c>
      <c r="AQ64" s="432">
        <f t="shared" si="65"/>
        <v>5</v>
      </c>
      <c r="AR64" s="432">
        <f>ROUND(24.8/5,1)-0.1</f>
        <v>4.9000000000000004</v>
      </c>
      <c r="AS64" s="432">
        <f>ROUND(24.8/5,1)-0.1</f>
        <v>4.9000000000000004</v>
      </c>
      <c r="AT64" s="122">
        <v>5.3</v>
      </c>
      <c r="AU64" s="125">
        <v>-1.8</v>
      </c>
      <c r="AV64" s="432">
        <f>ROUND(2.8/5,1)</f>
        <v>0.6</v>
      </c>
      <c r="AW64" s="432">
        <f t="shared" ref="AW64:AX64" si="66">ROUND(2.8/5,1)</f>
        <v>0.6</v>
      </c>
      <c r="AX64" s="432">
        <f t="shared" si="66"/>
        <v>0.6</v>
      </c>
      <c r="AY64" s="432">
        <f>ROUND(2.8/5,1)-0.1</f>
        <v>0.5</v>
      </c>
      <c r="AZ64" s="432">
        <f>ROUND(2.8/5,1)-0.1</f>
        <v>0.5</v>
      </c>
      <c r="BA64" s="429">
        <f>ROUND(21.9/5,1)</f>
        <v>4.4000000000000004</v>
      </c>
      <c r="BB64" s="417">
        <f>ROUND(21.9/5,1)</f>
        <v>4.4000000000000004</v>
      </c>
      <c r="BC64" s="417">
        <f>ROUND(21.9/5,1)</f>
        <v>4.4000000000000004</v>
      </c>
      <c r="BD64" s="417">
        <f>ROUND(21.9/5,1)</f>
        <v>4.4000000000000004</v>
      </c>
      <c r="BE64" s="450">
        <f>ROUND(21.9/5,1)-0.1</f>
        <v>4.3000000000000007</v>
      </c>
      <c r="BF64" s="379"/>
      <c r="BG64" s="368"/>
      <c r="BH64" s="333" t="str">
        <f ca="1">INDIRECT(ADDRESS(MATCH($B64,'【別紙1】標高（入力）'!$B:$B,0),'【別紙1】標高（入力）'!$N$2,4,TRUE,"【別紙1】標高（入力）"))</f>
        <v>R1</v>
      </c>
      <c r="BI64" s="340">
        <f ca="1">INDIRECT(ADDRESS(MATCH($B64,'【別紙1】標高（入力）'!$B:$B,0),'【別紙1】標高（入力）'!$O$2,4,TRUE,"【別紙1】標高（入力）"))</f>
        <v>4.4231999999999996</v>
      </c>
      <c r="BJ64" s="392"/>
    </row>
    <row r="65" spans="1:62" s="231" customFormat="1" ht="15.95" customHeight="1">
      <c r="A65" s="214">
        <v>317</v>
      </c>
      <c r="B65" s="215" t="s">
        <v>442</v>
      </c>
      <c r="C65" s="216" t="s">
        <v>96</v>
      </c>
      <c r="D65" s="217" t="s">
        <v>572</v>
      </c>
      <c r="E65" s="218" t="s">
        <v>119</v>
      </c>
      <c r="F65" s="219" t="s">
        <v>12</v>
      </c>
      <c r="G65" s="220" t="s">
        <v>10</v>
      </c>
      <c r="H65" s="220" t="s">
        <v>541</v>
      </c>
      <c r="I65" s="220" t="s">
        <v>539</v>
      </c>
      <c r="J65" s="410" t="s">
        <v>270</v>
      </c>
      <c r="K65" s="228"/>
      <c r="L65" s="228"/>
      <c r="M65" s="221"/>
      <c r="N65" s="123">
        <v>11.4</v>
      </c>
      <c r="O65" s="432">
        <f>ROUND(5.3/2,1)</f>
        <v>2.7</v>
      </c>
      <c r="P65" s="432">
        <f>ROUND(5.3/2,1)-0.1</f>
        <v>2.6</v>
      </c>
      <c r="Q65" s="127">
        <v>12.8</v>
      </c>
      <c r="R65" s="124">
        <v>2.7</v>
      </c>
      <c r="S65" s="124">
        <v>2.4</v>
      </c>
      <c r="T65" s="124">
        <v>10.8</v>
      </c>
      <c r="U65" s="124">
        <v>3.2</v>
      </c>
      <c r="V65" s="124">
        <v>5.5</v>
      </c>
      <c r="W65" s="124">
        <v>14</v>
      </c>
      <c r="X65" s="123">
        <v>0.3</v>
      </c>
      <c r="Y65" s="432">
        <f>ROUND(17.6/4,1)</f>
        <v>4.4000000000000004</v>
      </c>
      <c r="Z65" s="432">
        <f>ROUND(17.6/4,1)</f>
        <v>4.4000000000000004</v>
      </c>
      <c r="AA65" s="432">
        <f>ROUND(17.6/4,1)</f>
        <v>4.4000000000000004</v>
      </c>
      <c r="AB65" s="432">
        <f>ROUND(17.6/4,1)</f>
        <v>4.4000000000000004</v>
      </c>
      <c r="AC65" s="432">
        <f>ROUND(7.7/3,1)</f>
        <v>2.6</v>
      </c>
      <c r="AD65" s="432">
        <f>ROUND(7.7/3,1)</f>
        <v>2.6</v>
      </c>
      <c r="AE65" s="432">
        <f>ROUND(7.7/3,1)-0.1</f>
        <v>2.5</v>
      </c>
      <c r="AF65" s="432">
        <f>ROUND(15.4/3,1)</f>
        <v>5.0999999999999996</v>
      </c>
      <c r="AG65" s="432">
        <f>ROUND(15.4/3,1)</f>
        <v>5.0999999999999996</v>
      </c>
      <c r="AH65" s="432">
        <f>ROUND(15.4/3,1)+0.1</f>
        <v>5.1999999999999993</v>
      </c>
      <c r="AI65" s="432">
        <f>ROUND(10.4/3,1)</f>
        <v>3.5</v>
      </c>
      <c r="AJ65" s="432">
        <f>ROUND(10.4/3,1)</f>
        <v>3.5</v>
      </c>
      <c r="AK65" s="432">
        <f>ROUND(10.4/3,1)-0.1</f>
        <v>3.4</v>
      </c>
      <c r="AL65" s="432">
        <f>ROUND(16.2/3,1)</f>
        <v>5.4</v>
      </c>
      <c r="AM65" s="432">
        <f>ROUND(16.2/3,1)</f>
        <v>5.4</v>
      </c>
      <c r="AN65" s="432">
        <f>ROUND(16.2/3,1)</f>
        <v>5.4</v>
      </c>
      <c r="AO65" s="432">
        <f>ROUND(31.5/5,1)</f>
        <v>6.3</v>
      </c>
      <c r="AP65" s="432">
        <f t="shared" ref="AP65:AS65" si="67">ROUND(31.5/5,1)</f>
        <v>6.3</v>
      </c>
      <c r="AQ65" s="432">
        <f t="shared" si="67"/>
        <v>6.3</v>
      </c>
      <c r="AR65" s="432">
        <f t="shared" si="67"/>
        <v>6.3</v>
      </c>
      <c r="AS65" s="432">
        <f t="shared" si="67"/>
        <v>6.3</v>
      </c>
      <c r="AT65" s="122">
        <v>6</v>
      </c>
      <c r="AU65" s="225"/>
      <c r="AV65" s="228"/>
      <c r="AW65" s="228"/>
      <c r="AX65" s="228"/>
      <c r="AY65" s="228"/>
      <c r="AZ65" s="232"/>
      <c r="BA65" s="228"/>
      <c r="BB65" s="228"/>
      <c r="BC65" s="228"/>
      <c r="BD65" s="228"/>
      <c r="BE65" s="230"/>
      <c r="BF65" s="387"/>
      <c r="BG65" s="386"/>
      <c r="BH65" s="334" t="e">
        <f ca="1">INDIRECT(ADDRESS(MATCH($B65,'【別紙1】標高（入力）'!$B:$B,0),'【別紙1】標高（入力）'!$N$2,4,TRUE,"【別紙1】標高（入力）"))</f>
        <v>#N/A</v>
      </c>
      <c r="BI65" s="341" t="e">
        <f ca="1">INDIRECT(ADDRESS(MATCH($B65,'【別紙1】標高（入力）'!$B:$B,0),'【別紙1】標高（入力）'!$O$2,4,TRUE,"【別紙1】標高（入力）"))</f>
        <v>#N/A</v>
      </c>
      <c r="BJ65" s="393" t="s">
        <v>524</v>
      </c>
    </row>
    <row r="66" spans="1:62" s="231" customFormat="1" ht="15.95" customHeight="1">
      <c r="A66" s="214">
        <v>318</v>
      </c>
      <c r="B66" s="215" t="s">
        <v>443</v>
      </c>
      <c r="C66" s="216" t="s">
        <v>96</v>
      </c>
      <c r="D66" s="217" t="s">
        <v>329</v>
      </c>
      <c r="E66" s="218" t="s">
        <v>299</v>
      </c>
      <c r="F66" s="219" t="s">
        <v>12</v>
      </c>
      <c r="G66" s="220" t="s">
        <v>10</v>
      </c>
      <c r="H66" s="220" t="s">
        <v>64</v>
      </c>
      <c r="I66" s="220" t="s">
        <v>539</v>
      </c>
      <c r="J66" s="410" t="s">
        <v>270</v>
      </c>
      <c r="K66" s="228"/>
      <c r="L66" s="228"/>
      <c r="M66" s="221"/>
      <c r="N66" s="124">
        <v>17.7</v>
      </c>
      <c r="O66" s="124">
        <v>-6</v>
      </c>
      <c r="P66" s="124">
        <v>20.7</v>
      </c>
      <c r="Q66" s="124">
        <v>15.5</v>
      </c>
      <c r="R66" s="124">
        <v>-0.8</v>
      </c>
      <c r="S66" s="124">
        <v>5.6</v>
      </c>
      <c r="T66" s="124">
        <v>14</v>
      </c>
      <c r="U66" s="124">
        <v>9</v>
      </c>
      <c r="V66" s="124">
        <v>10.7</v>
      </c>
      <c r="W66" s="124">
        <v>19.5</v>
      </c>
      <c r="X66" s="123">
        <v>2</v>
      </c>
      <c r="Y66" s="432">
        <f>ROUND(77.2/10,1)</f>
        <v>7.7</v>
      </c>
      <c r="Z66" s="432">
        <f t="shared" ref="Z66:AF66" si="68">ROUND(77.2/10,1)</f>
        <v>7.7</v>
      </c>
      <c r="AA66" s="432">
        <f t="shared" si="68"/>
        <v>7.7</v>
      </c>
      <c r="AB66" s="432">
        <f t="shared" si="68"/>
        <v>7.7</v>
      </c>
      <c r="AC66" s="432">
        <f t="shared" si="68"/>
        <v>7.7</v>
      </c>
      <c r="AD66" s="432">
        <f t="shared" si="68"/>
        <v>7.7</v>
      </c>
      <c r="AE66" s="432">
        <f t="shared" si="68"/>
        <v>7.7</v>
      </c>
      <c r="AF66" s="432">
        <f t="shared" si="68"/>
        <v>7.7</v>
      </c>
      <c r="AG66" s="432">
        <f>ROUND(77.2/10,1)+0.1</f>
        <v>7.8</v>
      </c>
      <c r="AH66" s="432">
        <f>ROUND(77.2/10,1)+0.1</f>
        <v>7.8</v>
      </c>
      <c r="AI66" s="228"/>
      <c r="AJ66" s="228"/>
      <c r="AK66" s="228"/>
      <c r="AL66" s="228"/>
      <c r="AM66" s="228"/>
      <c r="AN66" s="232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32"/>
      <c r="BA66" s="228"/>
      <c r="BB66" s="228"/>
      <c r="BC66" s="228"/>
      <c r="BD66" s="228"/>
      <c r="BE66" s="230"/>
      <c r="BF66" s="387"/>
      <c r="BG66" s="386"/>
      <c r="BH66" s="336" t="s">
        <v>529</v>
      </c>
      <c r="BI66" s="344" t="s">
        <v>1189</v>
      </c>
      <c r="BJ66" s="393" t="s">
        <v>724</v>
      </c>
    </row>
    <row r="67" spans="1:62" ht="15.95" customHeight="1">
      <c r="A67" s="119">
        <v>319</v>
      </c>
      <c r="B67" s="107" t="s">
        <v>444</v>
      </c>
      <c r="C67" s="114" t="s">
        <v>96</v>
      </c>
      <c r="D67" s="110" t="s">
        <v>329</v>
      </c>
      <c r="E67" s="109" t="s">
        <v>299</v>
      </c>
      <c r="F67" s="111" t="s">
        <v>12</v>
      </c>
      <c r="G67" s="112" t="s">
        <v>31</v>
      </c>
      <c r="H67" s="112" t="s">
        <v>64</v>
      </c>
      <c r="I67" s="112" t="s">
        <v>539</v>
      </c>
      <c r="J67" s="112" t="s">
        <v>270</v>
      </c>
      <c r="K67" s="224"/>
      <c r="L67" s="228"/>
      <c r="M67" s="228"/>
      <c r="N67" s="228"/>
      <c r="O67" s="228"/>
      <c r="P67" s="221"/>
      <c r="Q67" s="124">
        <v>16.600000000000001</v>
      </c>
      <c r="R67" s="124">
        <v>4.5999999999999996</v>
      </c>
      <c r="S67" s="124">
        <v>5.0999999999999996</v>
      </c>
      <c r="T67" s="123">
        <v>16.2</v>
      </c>
      <c r="U67" s="432">
        <f>ROUND(14.4/2,1)</f>
        <v>7.2</v>
      </c>
      <c r="V67" s="432">
        <f>ROUND(14.4/2,1)</f>
        <v>7.2</v>
      </c>
      <c r="W67" s="432">
        <f>ROUND(61.4/12,1)</f>
        <v>5.0999999999999996</v>
      </c>
      <c r="X67" s="432">
        <f t="shared" ref="X67:AF67" si="69">ROUND(61.4/12,1)</f>
        <v>5.0999999999999996</v>
      </c>
      <c r="Y67" s="432">
        <f t="shared" si="69"/>
        <v>5.0999999999999996</v>
      </c>
      <c r="Z67" s="432">
        <f t="shared" si="69"/>
        <v>5.0999999999999996</v>
      </c>
      <c r="AA67" s="432">
        <f t="shared" si="69"/>
        <v>5.0999999999999996</v>
      </c>
      <c r="AB67" s="432">
        <f t="shared" si="69"/>
        <v>5.0999999999999996</v>
      </c>
      <c r="AC67" s="432">
        <f t="shared" si="69"/>
        <v>5.0999999999999996</v>
      </c>
      <c r="AD67" s="432">
        <f t="shared" si="69"/>
        <v>5.0999999999999996</v>
      </c>
      <c r="AE67" s="432">
        <f t="shared" si="69"/>
        <v>5.0999999999999996</v>
      </c>
      <c r="AF67" s="432">
        <f t="shared" si="69"/>
        <v>5.0999999999999996</v>
      </c>
      <c r="AG67" s="432">
        <f>ROUND(61.4/12,1)+0.1</f>
        <v>5.1999999999999993</v>
      </c>
      <c r="AH67" s="432">
        <f>ROUND(61.4/12,1)+0.1</f>
        <v>5.1999999999999993</v>
      </c>
      <c r="AI67" s="432">
        <f>ROUND(24.7/6,1)</f>
        <v>4.0999999999999996</v>
      </c>
      <c r="AJ67" s="432">
        <f t="shared" ref="AJ67:AM67" si="70">ROUND(24.7/6,1)</f>
        <v>4.0999999999999996</v>
      </c>
      <c r="AK67" s="432">
        <f t="shared" si="70"/>
        <v>4.0999999999999996</v>
      </c>
      <c r="AL67" s="432">
        <f t="shared" si="70"/>
        <v>4.0999999999999996</v>
      </c>
      <c r="AM67" s="432">
        <f t="shared" si="70"/>
        <v>4.0999999999999996</v>
      </c>
      <c r="AN67" s="432">
        <f>ROUND(24.7/6,1)+0.1</f>
        <v>4.1999999999999993</v>
      </c>
      <c r="AO67" s="432">
        <f>ROUND(39.8/6,1)</f>
        <v>6.6</v>
      </c>
      <c r="AP67" s="432">
        <f t="shared" ref="AP67:AR67" si="71">ROUND(39.8/6,1)</f>
        <v>6.6</v>
      </c>
      <c r="AQ67" s="432">
        <f t="shared" si="71"/>
        <v>6.6</v>
      </c>
      <c r="AR67" s="432">
        <f t="shared" si="71"/>
        <v>6.6</v>
      </c>
      <c r="AS67" s="432">
        <f>ROUND(39.8/6,1)+0.1</f>
        <v>6.6999999999999993</v>
      </c>
      <c r="AT67" s="432">
        <f>ROUND(39.8/6,1)+0.1</f>
        <v>6.6999999999999993</v>
      </c>
      <c r="AU67" s="122">
        <v>-0.2</v>
      </c>
      <c r="AV67" s="432">
        <f>ROUND(14.9/5,1)</f>
        <v>3</v>
      </c>
      <c r="AW67" s="432">
        <f t="shared" ref="AW67:AY67" si="72">ROUND(14.9/5,1)</f>
        <v>3</v>
      </c>
      <c r="AX67" s="432">
        <f t="shared" si="72"/>
        <v>3</v>
      </c>
      <c r="AY67" s="432">
        <f t="shared" si="72"/>
        <v>3</v>
      </c>
      <c r="AZ67" s="432">
        <f>ROUND(14.9/5,1)-0.1</f>
        <v>2.9</v>
      </c>
      <c r="BA67" s="429">
        <f>ROUND(20.6/5,1)+0.1</f>
        <v>4.1999999999999993</v>
      </c>
      <c r="BB67" s="418">
        <f>ROUND(20.6/5,1)</f>
        <v>4.0999999999999996</v>
      </c>
      <c r="BC67" s="418">
        <f>ROUND(20.6/5,1)</f>
        <v>4.0999999999999996</v>
      </c>
      <c r="BD67" s="429">
        <f>ROUND(20.6/5,1)</f>
        <v>4.0999999999999996</v>
      </c>
      <c r="BE67" s="450">
        <f>ROUND(20.6/5,1)</f>
        <v>4.0999999999999996</v>
      </c>
      <c r="BF67" s="379"/>
      <c r="BG67" s="368"/>
      <c r="BH67" s="333" t="e">
        <f ca="1">INDIRECT(ADDRESS(MATCH($B67,'【別紙1】標高（入力）'!$B:$B,0),'【別紙1】標高（入力）'!$N$2,4,TRUE,"【別紙1】標高（入力）"))</f>
        <v>#N/A</v>
      </c>
      <c r="BI67" s="340" t="e">
        <f ca="1">INDIRECT(ADDRESS(MATCH($B67,'【別紙1】標高（入力）'!$B:$B,0),'【別紙1】標高（入力）'!$O$2,4,TRUE,"【別紙1】標高（入力）"))</f>
        <v>#N/A</v>
      </c>
      <c r="BJ67" s="392"/>
    </row>
    <row r="68" spans="1:62" s="231" customFormat="1" ht="15.95" customHeight="1">
      <c r="A68" s="214">
        <v>320</v>
      </c>
      <c r="B68" s="215" t="s">
        <v>445</v>
      </c>
      <c r="C68" s="216" t="s">
        <v>96</v>
      </c>
      <c r="D68" s="217" t="s">
        <v>332</v>
      </c>
      <c r="E68" s="218" t="s">
        <v>123</v>
      </c>
      <c r="F68" s="219" t="s">
        <v>9</v>
      </c>
      <c r="G68" s="220" t="s">
        <v>10</v>
      </c>
      <c r="H68" s="220" t="s">
        <v>64</v>
      </c>
      <c r="I68" s="220" t="s">
        <v>539</v>
      </c>
      <c r="J68" s="410" t="s">
        <v>270</v>
      </c>
      <c r="K68" s="228"/>
      <c r="L68" s="228"/>
      <c r="M68" s="221"/>
      <c r="N68" s="123">
        <v>12</v>
      </c>
      <c r="O68" s="432">
        <f>ROUND(19.2/2,1)</f>
        <v>9.6</v>
      </c>
      <c r="P68" s="432">
        <f>ROUND(19.2/2,1)</f>
        <v>9.6</v>
      </c>
      <c r="Q68" s="127">
        <v>23.1</v>
      </c>
      <c r="R68" s="124">
        <v>3.4</v>
      </c>
      <c r="S68" s="124">
        <v>2.1</v>
      </c>
      <c r="T68" s="124">
        <v>17.399999999999999</v>
      </c>
      <c r="U68" s="124">
        <v>-0.6</v>
      </c>
      <c r="V68" s="124">
        <v>18.399999999999999</v>
      </c>
      <c r="W68" s="124">
        <v>35.4</v>
      </c>
      <c r="X68" s="123">
        <v>10.6</v>
      </c>
      <c r="Y68" s="432">
        <f>ROUND(18.4/4,1)</f>
        <v>4.5999999999999996</v>
      </c>
      <c r="Z68" s="432">
        <f t="shared" ref="Z68:AB68" si="73">ROUND(18.4/4,1)</f>
        <v>4.5999999999999996</v>
      </c>
      <c r="AA68" s="432">
        <f t="shared" si="73"/>
        <v>4.5999999999999996</v>
      </c>
      <c r="AB68" s="432">
        <f t="shared" si="73"/>
        <v>4.5999999999999996</v>
      </c>
      <c r="AC68" s="432">
        <f>ROUND(9.2/3,1)</f>
        <v>3.1</v>
      </c>
      <c r="AD68" s="432">
        <f>ROUND(9.2/3,1)</f>
        <v>3.1</v>
      </c>
      <c r="AE68" s="432">
        <f>ROUND(9.2/3,1)-0.1</f>
        <v>3</v>
      </c>
      <c r="AF68" s="432">
        <f>ROUND(16.7/3,1)</f>
        <v>5.6</v>
      </c>
      <c r="AG68" s="432">
        <f>ROUND(16.7/3,1)</f>
        <v>5.6</v>
      </c>
      <c r="AH68" s="432">
        <f>ROUND(16.7/3,1)-0.1</f>
        <v>5.5</v>
      </c>
      <c r="AI68" s="228"/>
      <c r="AJ68" s="228"/>
      <c r="AK68" s="228"/>
      <c r="AL68" s="228"/>
      <c r="AM68" s="228"/>
      <c r="AN68" s="228"/>
      <c r="AO68" s="232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30"/>
      <c r="BF68" s="387"/>
      <c r="BG68" s="386"/>
      <c r="BH68" s="336" t="s">
        <v>529</v>
      </c>
      <c r="BI68" s="344" t="s">
        <v>1189</v>
      </c>
      <c r="BJ68" s="393" t="s">
        <v>261</v>
      </c>
    </row>
    <row r="69" spans="1:62" ht="15.95" customHeight="1">
      <c r="A69" s="119">
        <v>321</v>
      </c>
      <c r="B69" s="107" t="s">
        <v>447</v>
      </c>
      <c r="C69" s="114" t="s">
        <v>96</v>
      </c>
      <c r="D69" s="110" t="s">
        <v>333</v>
      </c>
      <c r="E69" s="109" t="s">
        <v>125</v>
      </c>
      <c r="F69" s="111" t="s">
        <v>9</v>
      </c>
      <c r="G69" s="112" t="s">
        <v>31</v>
      </c>
      <c r="H69" s="112" t="s">
        <v>64</v>
      </c>
      <c r="I69" s="112" t="s">
        <v>539</v>
      </c>
      <c r="J69" s="108" t="s">
        <v>270</v>
      </c>
      <c r="K69" s="228"/>
      <c r="L69" s="228"/>
      <c r="M69" s="221"/>
      <c r="N69" s="228"/>
      <c r="O69" s="228"/>
      <c r="P69" s="221"/>
      <c r="Q69" s="124">
        <v>21.7</v>
      </c>
      <c r="R69" s="124">
        <v>7</v>
      </c>
      <c r="S69" s="124">
        <v>-1</v>
      </c>
      <c r="T69" s="124">
        <v>15.1</v>
      </c>
      <c r="U69" s="124">
        <v>-3.2</v>
      </c>
      <c r="V69" s="123">
        <v>25.2</v>
      </c>
      <c r="W69" s="411" t="s">
        <v>1270</v>
      </c>
      <c r="X69" s="127">
        <v>14.8</v>
      </c>
      <c r="Y69" s="124">
        <v>-2.2999999999999998</v>
      </c>
      <c r="Z69" s="124">
        <v>5.8</v>
      </c>
      <c r="AA69" s="124">
        <v>8.1999999999999993</v>
      </c>
      <c r="AB69" s="124">
        <v>-2.2999999999999998</v>
      </c>
      <c r="AC69" s="124">
        <v>9</v>
      </c>
      <c r="AD69" s="124">
        <v>-0.6</v>
      </c>
      <c r="AE69" s="124">
        <v>-2</v>
      </c>
      <c r="AF69" s="124">
        <v>6.3</v>
      </c>
      <c r="AG69" s="124">
        <v>6.1</v>
      </c>
      <c r="AH69" s="123">
        <v>-0.3</v>
      </c>
      <c r="AI69" s="125">
        <v>10.4</v>
      </c>
      <c r="AJ69" s="128">
        <v>-4.3</v>
      </c>
      <c r="AK69" s="128">
        <v>2.8</v>
      </c>
      <c r="AL69" s="123">
        <v>5.5</v>
      </c>
      <c r="AM69" s="123">
        <v>3.9999999999995599</v>
      </c>
      <c r="AN69" s="128">
        <v>-6.2</v>
      </c>
      <c r="AO69" s="122">
        <v>9.4</v>
      </c>
      <c r="AP69" s="125">
        <v>5.0999999999999996</v>
      </c>
      <c r="AQ69" s="432">
        <f>ROUND(2.1/2,1)</f>
        <v>1.1000000000000001</v>
      </c>
      <c r="AR69" s="432">
        <f>ROUND(2.1/2,1)-0.1</f>
        <v>1</v>
      </c>
      <c r="AS69" s="432">
        <f>ROUND(0.9/3,1)</f>
        <v>0.3</v>
      </c>
      <c r="AT69" s="432">
        <f>ROUND(0.9/3,1)</f>
        <v>0.3</v>
      </c>
      <c r="AU69" s="432">
        <f>ROUND(0.9/3,1)</f>
        <v>0.3</v>
      </c>
      <c r="AV69" s="125">
        <v>3.6</v>
      </c>
      <c r="AW69" s="432">
        <f>ROUND(6/2,1)</f>
        <v>3</v>
      </c>
      <c r="AX69" s="432">
        <f>ROUND(6/2,1)</f>
        <v>3</v>
      </c>
      <c r="AY69" s="432">
        <f>ROUND(2.7/5,1)</f>
        <v>0.5</v>
      </c>
      <c r="AZ69" s="432">
        <f t="shared" ref="AZ69:BA69" si="74">ROUND(2.7/5,1)</f>
        <v>0.5</v>
      </c>
      <c r="BA69" s="432">
        <f t="shared" si="74"/>
        <v>0.5</v>
      </c>
      <c r="BB69" s="432">
        <f>ROUND(2.7/5,1)+0.1</f>
        <v>0.6</v>
      </c>
      <c r="BC69" s="432">
        <f>ROUND(2.7/5,1)+0.1</f>
        <v>0.6</v>
      </c>
      <c r="BD69" s="125" t="s">
        <v>247</v>
      </c>
      <c r="BE69" s="142" t="s">
        <v>247</v>
      </c>
      <c r="BF69" s="379"/>
      <c r="BG69" s="368"/>
      <c r="BH69" s="335" t="str">
        <f ca="1">INDIRECT(ADDRESS(MATCH($B69,'【別紙1】標高（入力）'!$B:$B,0),'【別紙1】標高（入力）'!$N$2,4,TRUE,"【別紙1】標高（入力）"))</f>
        <v>R5</v>
      </c>
      <c r="BI69" s="342">
        <f ca="1">INDIRECT(ADDRESS(MATCH($B69,'【別紙1】標高（入力）'!$B:$B,0),'【別紙1】標高（入力）'!$O$2,4,TRUE,"【別紙1】標高（入力）"))</f>
        <v>8.1942000000000004</v>
      </c>
      <c r="BJ69" s="392"/>
    </row>
    <row r="70" spans="1:62" ht="15.95" customHeight="1">
      <c r="A70" s="119">
        <v>322</v>
      </c>
      <c r="B70" s="107" t="s">
        <v>449</v>
      </c>
      <c r="C70" s="114" t="s">
        <v>96</v>
      </c>
      <c r="D70" s="110" t="s">
        <v>657</v>
      </c>
      <c r="E70" s="109" t="s">
        <v>126</v>
      </c>
      <c r="F70" s="111" t="s">
        <v>9</v>
      </c>
      <c r="G70" s="112" t="s">
        <v>127</v>
      </c>
      <c r="H70" s="112" t="s">
        <v>542</v>
      </c>
      <c r="I70" s="112" t="s">
        <v>54</v>
      </c>
      <c r="J70" s="112" t="s">
        <v>270</v>
      </c>
      <c r="K70" s="224"/>
      <c r="L70" s="228"/>
      <c r="M70" s="228"/>
      <c r="N70" s="228"/>
      <c r="O70" s="228"/>
      <c r="P70" s="228"/>
      <c r="Q70" s="221"/>
      <c r="R70" s="124">
        <v>11.9</v>
      </c>
      <c r="S70" s="124">
        <v>1.9</v>
      </c>
      <c r="T70" s="124">
        <v>19.8</v>
      </c>
      <c r="U70" s="124">
        <v>-3.5</v>
      </c>
      <c r="V70" s="124">
        <v>49.9</v>
      </c>
      <c r="W70" s="124">
        <v>28.7</v>
      </c>
      <c r="X70" s="123">
        <v>28.6</v>
      </c>
      <c r="Y70" s="432">
        <f>ROUND(86.3/4,1)</f>
        <v>21.6</v>
      </c>
      <c r="Z70" s="432">
        <f t="shared" ref="Z70:AA70" si="75">ROUND(86.3/4,1)</f>
        <v>21.6</v>
      </c>
      <c r="AA70" s="432">
        <f t="shared" si="75"/>
        <v>21.6</v>
      </c>
      <c r="AB70" s="432">
        <f>ROUND(86.3/4,1)-0.1</f>
        <v>21.5</v>
      </c>
      <c r="AC70" s="232"/>
      <c r="AD70" s="228"/>
      <c r="AE70" s="411" t="s">
        <v>47</v>
      </c>
      <c r="AF70" s="232"/>
      <c r="AG70" s="228"/>
      <c r="AH70" s="227" t="s">
        <v>47</v>
      </c>
      <c r="AI70" s="432">
        <f>ROUND(86.5/7,1)</f>
        <v>12.4</v>
      </c>
      <c r="AJ70" s="432">
        <f t="shared" ref="AJ70:AL70" si="76">ROUND(86.5/7,1)</f>
        <v>12.4</v>
      </c>
      <c r="AK70" s="432">
        <f t="shared" si="76"/>
        <v>12.4</v>
      </c>
      <c r="AL70" s="432">
        <f t="shared" si="76"/>
        <v>12.4</v>
      </c>
      <c r="AM70" s="432">
        <f>ROUND(86.5/7,1)-0.1</f>
        <v>12.3</v>
      </c>
      <c r="AN70" s="432">
        <f>ROUND(86.5/7,1)-0.1</f>
        <v>12.3</v>
      </c>
      <c r="AO70" s="432">
        <f>ROUND(86.5/7,1)-0.1</f>
        <v>12.3</v>
      </c>
      <c r="AP70" s="432">
        <f>ROUND(36.2/4,1)</f>
        <v>9.1</v>
      </c>
      <c r="AQ70" s="432">
        <f t="shared" ref="AQ70" si="77">ROUND(36.2/4,1)</f>
        <v>9.1</v>
      </c>
      <c r="AR70" s="432">
        <f>ROUND(36.2/4,1)-0.1</f>
        <v>9</v>
      </c>
      <c r="AS70" s="432">
        <f>ROUND(36.2/4,1)-0.1</f>
        <v>9</v>
      </c>
      <c r="AT70" s="122">
        <v>14.4</v>
      </c>
      <c r="AU70" s="126">
        <v>0.5</v>
      </c>
      <c r="AV70" s="125">
        <v>5.3</v>
      </c>
      <c r="AW70" s="432">
        <f>ROUND(14.9/2,1)</f>
        <v>7.5</v>
      </c>
      <c r="AX70" s="432">
        <f>ROUND(14.9/2,1)-0.1</f>
        <v>7.4</v>
      </c>
      <c r="AY70" s="432">
        <f>ROUND(13.1/2,1)</f>
        <v>6.6</v>
      </c>
      <c r="AZ70" s="432">
        <f>ROUND(13.1/2,1)-0.1</f>
        <v>6.5</v>
      </c>
      <c r="BA70" s="432">
        <f>ROUND(13.9/3,1)</f>
        <v>4.5999999999999996</v>
      </c>
      <c r="BB70" s="432">
        <f>ROUND(13.9/3,1)</f>
        <v>4.5999999999999996</v>
      </c>
      <c r="BC70" s="432">
        <f>ROUND(13.9/3,1)+0.1</f>
        <v>4.6999999999999993</v>
      </c>
      <c r="BD70" s="449">
        <f>ROUND(18.8/2,1)</f>
        <v>9.4</v>
      </c>
      <c r="BE70" s="451">
        <f>ROUND(18.8/2,1)</f>
        <v>9.4</v>
      </c>
      <c r="BF70" s="379"/>
      <c r="BG70" s="368"/>
      <c r="BH70" s="333" t="str">
        <f ca="1">INDIRECT(ADDRESS(MATCH($B70,'【別紙1】標高（入力）'!$B:$B,0),'【別紙1】標高（入力）'!$N$2,4,TRUE,"【別紙1】標高（入力）"))</f>
        <v>R5</v>
      </c>
      <c r="BI70" s="340">
        <f ca="1">INDIRECT(ADDRESS(MATCH($B70,'【別紙1】標高（入力）'!$B:$B,0),'【別紙1】標高（入力）'!$O$2,4,TRUE,"【別紙1】標高（入力）"))</f>
        <v>3.5131999999999999</v>
      </c>
      <c r="BJ70" s="392"/>
    </row>
    <row r="71" spans="1:62" ht="15.95" customHeight="1">
      <c r="A71" s="119">
        <v>323</v>
      </c>
      <c r="B71" s="107" t="s">
        <v>451</v>
      </c>
      <c r="C71" s="114" t="s">
        <v>96</v>
      </c>
      <c r="D71" s="110" t="s">
        <v>658</v>
      </c>
      <c r="E71" s="109" t="s">
        <v>299</v>
      </c>
      <c r="F71" s="111" t="s">
        <v>9</v>
      </c>
      <c r="G71" s="112" t="s">
        <v>31</v>
      </c>
      <c r="H71" s="112" t="s">
        <v>541</v>
      </c>
      <c r="I71" s="112" t="s">
        <v>539</v>
      </c>
      <c r="J71" s="112" t="s">
        <v>270</v>
      </c>
      <c r="K71" s="224"/>
      <c r="L71" s="228"/>
      <c r="M71" s="228"/>
      <c r="N71" s="228"/>
      <c r="O71" s="228"/>
      <c r="P71" s="221"/>
      <c r="Q71" s="124">
        <v>60.7</v>
      </c>
      <c r="R71" s="124">
        <v>0.9</v>
      </c>
      <c r="S71" s="124">
        <v>-1.5</v>
      </c>
      <c r="T71" s="124">
        <v>21.8</v>
      </c>
      <c r="U71" s="124">
        <v>-1</v>
      </c>
      <c r="V71" s="123">
        <v>14.3</v>
      </c>
      <c r="W71" s="432">
        <f>ROUND(29.9/6,1)</f>
        <v>5</v>
      </c>
      <c r="X71" s="432">
        <f t="shared" ref="X71:AA71" si="78">ROUND(29.9/6,1)</f>
        <v>5</v>
      </c>
      <c r="Y71" s="432">
        <f t="shared" si="78"/>
        <v>5</v>
      </c>
      <c r="Z71" s="432">
        <f t="shared" si="78"/>
        <v>5</v>
      </c>
      <c r="AA71" s="432">
        <f t="shared" si="78"/>
        <v>5</v>
      </c>
      <c r="AB71" s="432">
        <f>ROUND(29.9/6,1)-0.1</f>
        <v>4.9000000000000004</v>
      </c>
      <c r="AC71" s="432">
        <f>ROUND(2.1/3,1)</f>
        <v>0.7</v>
      </c>
      <c r="AD71" s="432">
        <f>ROUND(2.1/3,1)</f>
        <v>0.7</v>
      </c>
      <c r="AE71" s="432">
        <f>ROUND(2.1/3,1)</f>
        <v>0.7</v>
      </c>
      <c r="AF71" s="432">
        <f>ROUND(9.2/3,1)</f>
        <v>3.1</v>
      </c>
      <c r="AG71" s="432">
        <f>ROUND(9.2/3,1)</f>
        <v>3.1</v>
      </c>
      <c r="AH71" s="432">
        <f>ROUND(9.2/3,1)-0.1</f>
        <v>3</v>
      </c>
      <c r="AI71" s="432">
        <f>ROUND(16.7/7,1)</f>
        <v>2.4</v>
      </c>
      <c r="AJ71" s="432">
        <f t="shared" ref="AJ71:AN71" si="79">ROUND(16.7/7,1)</f>
        <v>2.4</v>
      </c>
      <c r="AK71" s="432">
        <f t="shared" si="79"/>
        <v>2.4</v>
      </c>
      <c r="AL71" s="432">
        <f t="shared" si="79"/>
        <v>2.4</v>
      </c>
      <c r="AM71" s="432">
        <f t="shared" si="79"/>
        <v>2.4</v>
      </c>
      <c r="AN71" s="432">
        <f t="shared" si="79"/>
        <v>2.4</v>
      </c>
      <c r="AO71" s="432">
        <f>ROUND(16.7/7,1)-0.1</f>
        <v>2.2999999999999998</v>
      </c>
      <c r="AP71" s="432">
        <f>ROUND(4.8/4,1)</f>
        <v>1.2</v>
      </c>
      <c r="AQ71" s="432">
        <f>ROUND(4.8/4,1)</f>
        <v>1.2</v>
      </c>
      <c r="AR71" s="432">
        <f>ROUND(4.8/4,1)</f>
        <v>1.2</v>
      </c>
      <c r="AS71" s="432">
        <f>ROUND(4.8/4,1)</f>
        <v>1.2</v>
      </c>
      <c r="AT71" s="122">
        <v>4.8</v>
      </c>
      <c r="AU71" s="126">
        <v>-2.2999999999999998</v>
      </c>
      <c r="AV71" s="125">
        <v>2.9</v>
      </c>
      <c r="AW71" s="432">
        <f>ROUND(3.6/2,1)</f>
        <v>1.8</v>
      </c>
      <c r="AX71" s="432">
        <f>ROUND(3.6/2,1)</f>
        <v>1.8</v>
      </c>
      <c r="AY71" s="432">
        <f>ROUND(1.4/2,1)</f>
        <v>0.7</v>
      </c>
      <c r="AZ71" s="432">
        <f>ROUND(1.4/2,1)</f>
        <v>0.7</v>
      </c>
      <c r="BA71" s="432">
        <f>ROUND(3.6/3,1)</f>
        <v>1.2</v>
      </c>
      <c r="BB71" s="432">
        <f>ROUND(3.6/3,1)</f>
        <v>1.2</v>
      </c>
      <c r="BC71" s="432">
        <f>ROUND(3.6/3,1)</f>
        <v>1.2</v>
      </c>
      <c r="BD71" s="449">
        <f>ROUND(7.2/2,1)</f>
        <v>3.6</v>
      </c>
      <c r="BE71" s="451">
        <f>ROUND(7.2/2,1)</f>
        <v>3.6</v>
      </c>
      <c r="BF71" s="379"/>
      <c r="BG71" s="368"/>
      <c r="BH71" s="333" t="str">
        <f ca="1">INDIRECT(ADDRESS(MATCH($B71,'【別紙1】標高（入力）'!$B:$B,0),'【別紙1】標高（入力）'!$N$2,4,TRUE,"【別紙1】標高（入力）"))</f>
        <v>R1</v>
      </c>
      <c r="BI71" s="340">
        <f ca="1">INDIRECT(ADDRESS(MATCH($B71,'【別紙1】標高（入力）'!$B:$B,0),'【別紙1】標高（入力）'!$O$2,4,TRUE,"【別紙1】標高（入力）"))</f>
        <v>3.3675000000000002</v>
      </c>
      <c r="BJ71" s="392"/>
    </row>
    <row r="72" spans="1:62" ht="15.95" customHeight="1">
      <c r="A72" s="119">
        <v>324</v>
      </c>
      <c r="B72" s="107" t="s">
        <v>452</v>
      </c>
      <c r="C72" s="114" t="s">
        <v>96</v>
      </c>
      <c r="D72" s="110" t="s">
        <v>334</v>
      </c>
      <c r="E72" s="109" t="s">
        <v>279</v>
      </c>
      <c r="F72" s="111" t="s">
        <v>9</v>
      </c>
      <c r="G72" s="112" t="s">
        <v>31</v>
      </c>
      <c r="H72" s="112" t="s">
        <v>64</v>
      </c>
      <c r="I72" s="112" t="s">
        <v>54</v>
      </c>
      <c r="J72" s="112" t="s">
        <v>270</v>
      </c>
      <c r="K72" s="224"/>
      <c r="L72" s="228"/>
      <c r="M72" s="228"/>
      <c r="N72" s="228"/>
      <c r="O72" s="228"/>
      <c r="P72" s="221"/>
      <c r="Q72" s="124">
        <v>22.2</v>
      </c>
      <c r="R72" s="124">
        <v>2.8</v>
      </c>
      <c r="S72" s="124">
        <v>-4.5999999999999996</v>
      </c>
      <c r="T72" s="123">
        <v>31.2</v>
      </c>
      <c r="U72" s="432">
        <f>ROUND(164.8/14,1)</f>
        <v>11.8</v>
      </c>
      <c r="V72" s="430">
        <f t="shared" ref="V72:AD72" si="80">ROUND(164.8/14,1)</f>
        <v>11.8</v>
      </c>
      <c r="W72" s="418">
        <f t="shared" si="80"/>
        <v>11.8</v>
      </c>
      <c r="X72" s="418">
        <f t="shared" si="80"/>
        <v>11.8</v>
      </c>
      <c r="Y72" s="418">
        <f t="shared" si="80"/>
        <v>11.8</v>
      </c>
      <c r="Z72" s="418">
        <f t="shared" si="80"/>
        <v>11.8</v>
      </c>
      <c r="AA72" s="418">
        <f t="shared" si="80"/>
        <v>11.8</v>
      </c>
      <c r="AB72" s="418">
        <f t="shared" si="80"/>
        <v>11.8</v>
      </c>
      <c r="AC72" s="418">
        <f t="shared" si="80"/>
        <v>11.8</v>
      </c>
      <c r="AD72" s="418">
        <f t="shared" si="80"/>
        <v>11.8</v>
      </c>
      <c r="AE72" s="418">
        <f>ROUND(164.8/14,1)-0.1</f>
        <v>11.700000000000001</v>
      </c>
      <c r="AF72" s="418">
        <f>ROUND(164.8/14,1)-0.1</f>
        <v>11.700000000000001</v>
      </c>
      <c r="AG72" s="418">
        <f>ROUND(164.8/14,1)-0.1</f>
        <v>11.700000000000001</v>
      </c>
      <c r="AH72" s="418">
        <f>ROUND(164.8/14,1)-0.1</f>
        <v>11.700000000000001</v>
      </c>
      <c r="AI72" s="432">
        <f>ROUND(100.5/7,1)</f>
        <v>14.4</v>
      </c>
      <c r="AJ72" s="432">
        <f t="shared" ref="AJ72:AL72" si="81">ROUND(100.5/7,1)</f>
        <v>14.4</v>
      </c>
      <c r="AK72" s="432">
        <f t="shared" si="81"/>
        <v>14.4</v>
      </c>
      <c r="AL72" s="432">
        <f t="shared" si="81"/>
        <v>14.4</v>
      </c>
      <c r="AM72" s="432">
        <f>ROUND(100.5/7,1)-0.1</f>
        <v>14.3</v>
      </c>
      <c r="AN72" s="432">
        <f>ROUND(100.5/7,1)-0.1</f>
        <v>14.3</v>
      </c>
      <c r="AO72" s="432">
        <f>ROUND(100.5/7,1)-0.1</f>
        <v>14.3</v>
      </c>
      <c r="AP72" s="432">
        <f>ROUND(23.9/4,1)</f>
        <v>6</v>
      </c>
      <c r="AQ72" s="432">
        <f t="shared" ref="AQ72:AR72" si="82">ROUND(23.9/4,1)</f>
        <v>6</v>
      </c>
      <c r="AR72" s="432">
        <f t="shared" si="82"/>
        <v>6</v>
      </c>
      <c r="AS72" s="432">
        <f>ROUND(23.9/4,1)-0.1</f>
        <v>5.9</v>
      </c>
      <c r="AT72" s="122">
        <v>19.600000000000001</v>
      </c>
      <c r="AU72" s="126">
        <v>0.6</v>
      </c>
      <c r="AV72" s="125">
        <v>5</v>
      </c>
      <c r="AW72" s="432">
        <f>ROUND(-9.9/2,1)</f>
        <v>-5</v>
      </c>
      <c r="AX72" s="432">
        <f>ROUND(-9.9/2,1)+0.1</f>
        <v>-4.9000000000000004</v>
      </c>
      <c r="AY72" s="432">
        <f>ROUND(7.9/2,1)</f>
        <v>4</v>
      </c>
      <c r="AZ72" s="432">
        <f>ROUND(7.9/2,1)-0.1</f>
        <v>3.9</v>
      </c>
      <c r="BA72" s="432">
        <f>ROUND(2.3/3,1)</f>
        <v>0.8</v>
      </c>
      <c r="BB72" s="432">
        <f>ROUND(2.3/3,1)</f>
        <v>0.8</v>
      </c>
      <c r="BC72" s="432">
        <f>ROUND(2.3/3,1)-0.1</f>
        <v>0.70000000000000007</v>
      </c>
      <c r="BD72" s="449">
        <f>ROUND(13.7/2,1)</f>
        <v>6.9</v>
      </c>
      <c r="BE72" s="451">
        <f>ROUND(13.7/2,1)-0.1</f>
        <v>6.8000000000000007</v>
      </c>
      <c r="BF72" s="379"/>
      <c r="BG72" s="368"/>
      <c r="BH72" s="333" t="str">
        <f ca="1">INDIRECT(ADDRESS(MATCH($B72,'【別紙1】標高（入力）'!$B:$B,0),'【別紙1】標高（入力）'!$N$2,4,TRUE,"【別紙1】標高（入力）"))</f>
        <v>R1</v>
      </c>
      <c r="BI72" s="340">
        <f ca="1">INDIRECT(ADDRESS(MATCH($B72,'【別紙1】標高（入力）'!$B:$B,0),'【別紙1】標高（入力）'!$O$2,4,TRUE,"【別紙1】標高（入力）"))</f>
        <v>4.9245000000000001</v>
      </c>
      <c r="BJ72" s="392"/>
    </row>
    <row r="73" spans="1:62" ht="15.95" customHeight="1">
      <c r="A73" s="119">
        <v>325</v>
      </c>
      <c r="B73" s="107" t="s">
        <v>454</v>
      </c>
      <c r="C73" s="114" t="s">
        <v>96</v>
      </c>
      <c r="D73" s="110" t="s">
        <v>334</v>
      </c>
      <c r="E73" s="109" t="s">
        <v>130</v>
      </c>
      <c r="F73" s="111" t="s">
        <v>9</v>
      </c>
      <c r="G73" s="112" t="s">
        <v>31</v>
      </c>
      <c r="H73" s="112" t="s">
        <v>64</v>
      </c>
      <c r="I73" s="112" t="s">
        <v>539</v>
      </c>
      <c r="J73" s="112" t="s">
        <v>270</v>
      </c>
      <c r="K73" s="224"/>
      <c r="L73" s="228"/>
      <c r="M73" s="228"/>
      <c r="N73" s="228"/>
      <c r="O73" s="228"/>
      <c r="P73" s="221"/>
      <c r="Q73" s="124">
        <v>16.100000000000001</v>
      </c>
      <c r="R73" s="124">
        <v>0.3</v>
      </c>
      <c r="S73" s="124">
        <v>-9.6999999999999993</v>
      </c>
      <c r="T73" s="123">
        <v>6.9</v>
      </c>
      <c r="U73" s="432">
        <f>ROUND(-1.6/14,1)</f>
        <v>-0.1</v>
      </c>
      <c r="V73" s="432">
        <f t="shared" ref="V73:AF73" si="83">ROUND(-1.6/14,1)</f>
        <v>-0.1</v>
      </c>
      <c r="W73" s="432">
        <f t="shared" si="83"/>
        <v>-0.1</v>
      </c>
      <c r="X73" s="432">
        <f t="shared" si="83"/>
        <v>-0.1</v>
      </c>
      <c r="Y73" s="432">
        <f t="shared" si="83"/>
        <v>-0.1</v>
      </c>
      <c r="Z73" s="432">
        <f t="shared" si="83"/>
        <v>-0.1</v>
      </c>
      <c r="AA73" s="432">
        <f t="shared" si="83"/>
        <v>-0.1</v>
      </c>
      <c r="AB73" s="432">
        <f t="shared" si="83"/>
        <v>-0.1</v>
      </c>
      <c r="AC73" s="432">
        <f t="shared" si="83"/>
        <v>-0.1</v>
      </c>
      <c r="AD73" s="432">
        <f t="shared" si="83"/>
        <v>-0.1</v>
      </c>
      <c r="AE73" s="432">
        <f t="shared" si="83"/>
        <v>-0.1</v>
      </c>
      <c r="AF73" s="432">
        <f t="shared" si="83"/>
        <v>-0.1</v>
      </c>
      <c r="AG73" s="432">
        <f>ROUND(-1.6/14,1)-0.1</f>
        <v>-0.2</v>
      </c>
      <c r="AH73" s="432">
        <f>ROUND(-1.6/14,1)-0.1</f>
        <v>-0.2</v>
      </c>
      <c r="AI73" s="432">
        <f>ROUND(12.2/7,1)</f>
        <v>1.7</v>
      </c>
      <c r="AJ73" s="432">
        <f t="shared" ref="AJ73:AL73" si="84">ROUND(12.2/7,1)</f>
        <v>1.7</v>
      </c>
      <c r="AK73" s="432">
        <f t="shared" si="84"/>
        <v>1.7</v>
      </c>
      <c r="AL73" s="432">
        <f t="shared" si="84"/>
        <v>1.7</v>
      </c>
      <c r="AM73" s="432">
        <f>ROUND(12.2/7,1)+0.1</f>
        <v>1.8</v>
      </c>
      <c r="AN73" s="432">
        <f>ROUND(12.2/7,1)+0.1</f>
        <v>1.8</v>
      </c>
      <c r="AO73" s="432">
        <f>ROUND(12.2/7,1)+0.1</f>
        <v>1.8</v>
      </c>
      <c r="AP73" s="432">
        <f>ROUND(0.2/4,1)</f>
        <v>0.1</v>
      </c>
      <c r="AQ73" s="432">
        <f>ROUND(0.2/4,1)</f>
        <v>0.1</v>
      </c>
      <c r="AR73" s="432">
        <f>ROUND(0.2/4,1)-0.1</f>
        <v>0</v>
      </c>
      <c r="AS73" s="432">
        <f>ROUND(0.2/4,1)-0.1</f>
        <v>0</v>
      </c>
      <c r="AT73" s="122">
        <v>1.5</v>
      </c>
      <c r="AU73" s="126">
        <v>0.3</v>
      </c>
      <c r="AV73" s="125">
        <v>5.9</v>
      </c>
      <c r="AW73" s="432">
        <f>ROUND(-0.8/2,1)</f>
        <v>-0.4</v>
      </c>
      <c r="AX73" s="432">
        <f>ROUND(-0.8/2,1)</f>
        <v>-0.4</v>
      </c>
      <c r="AY73" s="432">
        <f>ROUND(1.4/2,1)</f>
        <v>0.7</v>
      </c>
      <c r="AZ73" s="432">
        <f>ROUND(1.4/2,1)</f>
        <v>0.7</v>
      </c>
      <c r="BA73" s="432">
        <f>ROUND(4.4/3,1)</f>
        <v>1.5</v>
      </c>
      <c r="BB73" s="432">
        <f>ROUND(4.4/3,1)</f>
        <v>1.5</v>
      </c>
      <c r="BC73" s="432">
        <f>ROUND(4.4/3,1)-0.1</f>
        <v>1.4</v>
      </c>
      <c r="BD73" s="449">
        <f>ROUND(5.6/2,1)</f>
        <v>2.8</v>
      </c>
      <c r="BE73" s="451">
        <f>ROUND(5.6/2,1)</f>
        <v>2.8</v>
      </c>
      <c r="BF73" s="379"/>
      <c r="BG73" s="368"/>
      <c r="BH73" s="333" t="str">
        <f ca="1">INDIRECT(ADDRESS(MATCH($B73,'【別紙1】標高（入力）'!$B:$B,0),'【別紙1】標高（入力）'!$N$2,4,TRUE,"【別紙1】標高（入力）"))</f>
        <v>R1</v>
      </c>
      <c r="BI73" s="340">
        <f ca="1">INDIRECT(ADDRESS(MATCH($B73,'【別紙1】標高（入力）'!$B:$B,0),'【別紙1】標高（入力）'!$O$2,4,TRUE,"【別紙1】標高（入力）"))</f>
        <v>4.7450000000000001</v>
      </c>
      <c r="BJ73" s="392"/>
    </row>
    <row r="74" spans="1:62" ht="15.95" customHeight="1">
      <c r="A74" s="119">
        <v>326</v>
      </c>
      <c r="B74" s="107" t="s">
        <v>456</v>
      </c>
      <c r="C74" s="114" t="s">
        <v>96</v>
      </c>
      <c r="D74" s="110" t="s">
        <v>334</v>
      </c>
      <c r="E74" s="109" t="s">
        <v>131</v>
      </c>
      <c r="F74" s="111" t="s">
        <v>9</v>
      </c>
      <c r="G74" s="112" t="s">
        <v>31</v>
      </c>
      <c r="H74" s="112" t="s">
        <v>64</v>
      </c>
      <c r="I74" s="112" t="s">
        <v>54</v>
      </c>
      <c r="J74" s="112" t="s">
        <v>270</v>
      </c>
      <c r="K74" s="224"/>
      <c r="L74" s="228"/>
      <c r="M74" s="228"/>
      <c r="N74" s="228"/>
      <c r="O74" s="228"/>
      <c r="P74" s="221"/>
      <c r="Q74" s="124">
        <v>24.7</v>
      </c>
      <c r="R74" s="124">
        <v>4.5999999999999996</v>
      </c>
      <c r="S74" s="124">
        <v>1.8</v>
      </c>
      <c r="T74" s="123">
        <v>11.7</v>
      </c>
      <c r="U74" s="432">
        <f>ROUND(30.1/14,1)</f>
        <v>2.2000000000000002</v>
      </c>
      <c r="V74" s="432">
        <f t="shared" ref="V74:AA74" si="85">ROUND(30.1/14,1)</f>
        <v>2.2000000000000002</v>
      </c>
      <c r="W74" s="432">
        <f t="shared" si="85"/>
        <v>2.2000000000000002</v>
      </c>
      <c r="X74" s="432">
        <f t="shared" si="85"/>
        <v>2.2000000000000002</v>
      </c>
      <c r="Y74" s="432">
        <f t="shared" si="85"/>
        <v>2.2000000000000002</v>
      </c>
      <c r="Z74" s="432">
        <f t="shared" si="85"/>
        <v>2.2000000000000002</v>
      </c>
      <c r="AA74" s="432">
        <f t="shared" si="85"/>
        <v>2.2000000000000002</v>
      </c>
      <c r="AB74" s="432">
        <f t="shared" ref="AB74:AH74" si="86">ROUND(30.1/14,1)-0.1</f>
        <v>2.1</v>
      </c>
      <c r="AC74" s="432">
        <f t="shared" si="86"/>
        <v>2.1</v>
      </c>
      <c r="AD74" s="432">
        <f t="shared" si="86"/>
        <v>2.1</v>
      </c>
      <c r="AE74" s="432">
        <f t="shared" si="86"/>
        <v>2.1</v>
      </c>
      <c r="AF74" s="432">
        <f t="shared" si="86"/>
        <v>2.1</v>
      </c>
      <c r="AG74" s="432">
        <f t="shared" si="86"/>
        <v>2.1</v>
      </c>
      <c r="AH74" s="432">
        <f t="shared" si="86"/>
        <v>2.1</v>
      </c>
      <c r="AI74" s="432">
        <f>ROUND(17.9/7,1)</f>
        <v>2.6</v>
      </c>
      <c r="AJ74" s="432">
        <f t="shared" ref="AJ74:AL74" si="87">ROUND(17.9/7,1)</f>
        <v>2.6</v>
      </c>
      <c r="AK74" s="432">
        <f t="shared" si="87"/>
        <v>2.6</v>
      </c>
      <c r="AL74" s="432">
        <f t="shared" si="87"/>
        <v>2.6</v>
      </c>
      <c r="AM74" s="432">
        <f>ROUND(17.9/7,1)-0.1</f>
        <v>2.5</v>
      </c>
      <c r="AN74" s="432">
        <f>ROUND(17.9/7,1)-0.1</f>
        <v>2.5</v>
      </c>
      <c r="AO74" s="432">
        <f>ROUND(17.9/7,1)-0.1</f>
        <v>2.5</v>
      </c>
      <c r="AP74" s="432">
        <f>ROUND(2.4/4,1)</f>
        <v>0.6</v>
      </c>
      <c r="AQ74" s="432">
        <f t="shared" ref="AQ74:AS74" si="88">ROUND(2.4/4,1)</f>
        <v>0.6</v>
      </c>
      <c r="AR74" s="432">
        <f t="shared" si="88"/>
        <v>0.6</v>
      </c>
      <c r="AS74" s="432">
        <f t="shared" si="88"/>
        <v>0.6</v>
      </c>
      <c r="AT74" s="122">
        <v>1.6</v>
      </c>
      <c r="AU74" s="126">
        <v>-0.6</v>
      </c>
      <c r="AV74" s="122">
        <v>7</v>
      </c>
      <c r="AW74" s="432">
        <f>ROUND(-0.2/2,1)</f>
        <v>-0.1</v>
      </c>
      <c r="AX74" s="432">
        <f>ROUND(-0.2/2,1)</f>
        <v>-0.1</v>
      </c>
      <c r="AY74" s="432">
        <f>ROUND(0.1/2,1)</f>
        <v>0.1</v>
      </c>
      <c r="AZ74" s="432">
        <f>ROUND(0.1/2,1)-0.1</f>
        <v>0</v>
      </c>
      <c r="BA74" s="432">
        <f>ROUND(4.9/3,1)</f>
        <v>1.6</v>
      </c>
      <c r="BB74" s="432">
        <f>ROUND(4.9/3,1)</f>
        <v>1.6</v>
      </c>
      <c r="BC74" s="432">
        <f>ROUND(4.9/3,1)+0.1</f>
        <v>1.7000000000000002</v>
      </c>
      <c r="BD74" s="449">
        <f>ROUND(5.1/2,1)</f>
        <v>2.6</v>
      </c>
      <c r="BE74" s="451">
        <f>ROUND(5.1/2,1)-0.1</f>
        <v>2.5</v>
      </c>
      <c r="BF74" s="379"/>
      <c r="BG74" s="368"/>
      <c r="BH74" s="333" t="str">
        <f ca="1">INDIRECT(ADDRESS(MATCH($B74,'【別紙1】標高（入力）'!$B:$B,0),'【別紙1】標高（入力）'!$N$2,4,TRUE,"【別紙1】標高（入力）"))</f>
        <v>R1</v>
      </c>
      <c r="BI74" s="340">
        <f ca="1">INDIRECT(ADDRESS(MATCH($B74,'【別紙1】標高（入力）'!$B:$B,0),'【別紙1】標高（入力）'!$O$2,4,TRUE,"【別紙1】標高（入力）"))</f>
        <v>4.1571999999999996</v>
      </c>
      <c r="BJ74" s="392"/>
    </row>
    <row r="75" spans="1:62" s="231" customFormat="1" ht="15.95" customHeight="1">
      <c r="A75" s="214">
        <v>327</v>
      </c>
      <c r="B75" s="215" t="s">
        <v>457</v>
      </c>
      <c r="C75" s="216" t="s">
        <v>96</v>
      </c>
      <c r="D75" s="217" t="s">
        <v>334</v>
      </c>
      <c r="E75" s="218" t="s">
        <v>299</v>
      </c>
      <c r="F75" s="219" t="s">
        <v>9</v>
      </c>
      <c r="G75" s="220" t="s">
        <v>31</v>
      </c>
      <c r="H75" s="220" t="s">
        <v>64</v>
      </c>
      <c r="I75" s="220" t="s">
        <v>54</v>
      </c>
      <c r="J75" s="410" t="s">
        <v>270</v>
      </c>
      <c r="K75" s="228"/>
      <c r="L75" s="228"/>
      <c r="M75" s="228"/>
      <c r="N75" s="228"/>
      <c r="O75" s="228"/>
      <c r="P75" s="221"/>
      <c r="Q75" s="124">
        <v>20.2</v>
      </c>
      <c r="R75" s="124">
        <v>3.1</v>
      </c>
      <c r="S75" s="124">
        <v>-2</v>
      </c>
      <c r="T75" s="124">
        <v>9</v>
      </c>
      <c r="U75" s="124">
        <v>-3.4</v>
      </c>
      <c r="V75" s="124">
        <v>20.8</v>
      </c>
      <c r="W75" s="233" t="s">
        <v>20</v>
      </c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30"/>
      <c r="BF75" s="387"/>
      <c r="BG75" s="386"/>
      <c r="BH75" s="336" t="s">
        <v>529</v>
      </c>
      <c r="BI75" s="344" t="s">
        <v>1189</v>
      </c>
      <c r="BJ75" s="393" t="s">
        <v>20</v>
      </c>
    </row>
    <row r="76" spans="1:62" ht="15.95" customHeight="1">
      <c r="A76" s="119">
        <v>328</v>
      </c>
      <c r="B76" s="113" t="s">
        <v>459</v>
      </c>
      <c r="C76" s="115" t="s">
        <v>96</v>
      </c>
      <c r="D76" s="116" t="s">
        <v>333</v>
      </c>
      <c r="E76" s="117" t="s">
        <v>301</v>
      </c>
      <c r="F76" s="111" t="s">
        <v>9</v>
      </c>
      <c r="G76" s="112" t="s">
        <v>343</v>
      </c>
      <c r="H76" s="112" t="s">
        <v>64</v>
      </c>
      <c r="I76" s="112" t="s">
        <v>539</v>
      </c>
      <c r="J76" s="108" t="s">
        <v>270</v>
      </c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138" t="s">
        <v>289</v>
      </c>
      <c r="AR76" s="135" t="s">
        <v>314</v>
      </c>
      <c r="AS76" s="432">
        <f>ROUND(5.2/3,1)</f>
        <v>1.7</v>
      </c>
      <c r="AT76" s="432">
        <f>ROUND(5.2/3,1)</f>
        <v>1.7</v>
      </c>
      <c r="AU76" s="432">
        <f>ROUND(5.2/3,1)+0.1</f>
        <v>1.8</v>
      </c>
      <c r="AV76" s="122">
        <v>4.3</v>
      </c>
      <c r="AW76" s="432">
        <f>ROUND(7.6/2,1)</f>
        <v>3.8</v>
      </c>
      <c r="AX76" s="432">
        <f>ROUND(7.6/2,1)</f>
        <v>3.8</v>
      </c>
      <c r="AY76" s="432">
        <f>ROUND(2.2/2,1)</f>
        <v>1.1000000000000001</v>
      </c>
      <c r="AZ76" s="432">
        <f>ROUND(2.2/2,1)</f>
        <v>1.1000000000000001</v>
      </c>
      <c r="BA76" s="432">
        <f>ROUND(6.4/3,1)</f>
        <v>2.1</v>
      </c>
      <c r="BB76" s="432">
        <f>ROUND(6.4/3,1)</f>
        <v>2.1</v>
      </c>
      <c r="BC76" s="432">
        <f>ROUND(6.4/3,1)+0.1</f>
        <v>2.2000000000000002</v>
      </c>
      <c r="BD76" s="449">
        <f>ROUND(7.9/2,1)</f>
        <v>4</v>
      </c>
      <c r="BE76" s="451">
        <f>ROUND(7.9/2,1)-0.1</f>
        <v>3.9</v>
      </c>
      <c r="BF76" s="379"/>
      <c r="BG76" s="368"/>
      <c r="BH76" s="335" t="str">
        <f ca="1">INDIRECT(ADDRESS(MATCH($B76,'【別紙1】標高（入力）'!$B:$B,0),'【別紙1】標高（入力）'!$N$2,4,TRUE,"【別紙1】標高（入力）"))</f>
        <v>R5</v>
      </c>
      <c r="BI76" s="342">
        <f ca="1">INDIRECT(ADDRESS(MATCH($B76,'【別紙1】標高（入力）'!$B:$B,0),'【別紙1】標高（入力）'!$O$2,4,TRUE,"【別紙1】標高（入力）"))</f>
        <v>7.0330000000000004</v>
      </c>
      <c r="BJ76" s="392"/>
    </row>
    <row r="77" spans="1:62" ht="15.95" customHeight="1">
      <c r="A77" s="119">
        <v>329</v>
      </c>
      <c r="B77" s="113" t="s">
        <v>461</v>
      </c>
      <c r="C77" s="115" t="s">
        <v>96</v>
      </c>
      <c r="D77" s="116" t="s">
        <v>718</v>
      </c>
      <c r="E77" s="117" t="s">
        <v>303</v>
      </c>
      <c r="F77" s="111" t="s">
        <v>287</v>
      </c>
      <c r="G77" s="112" t="s">
        <v>555</v>
      </c>
      <c r="H77" s="112" t="s">
        <v>542</v>
      </c>
      <c r="I77" s="112" t="s">
        <v>54</v>
      </c>
      <c r="J77" s="108" t="s">
        <v>270</v>
      </c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228"/>
      <c r="AH77" s="228"/>
      <c r="AI77" s="412"/>
      <c r="AJ77" s="412"/>
      <c r="AK77" s="412"/>
      <c r="AL77" s="412"/>
      <c r="AM77" s="412"/>
      <c r="AN77" s="412"/>
      <c r="AO77" s="412"/>
      <c r="AP77" s="412"/>
      <c r="AQ77" s="412"/>
      <c r="AR77" s="253" t="s">
        <v>289</v>
      </c>
      <c r="AS77" s="135" t="s">
        <v>314</v>
      </c>
      <c r="AT77" s="125">
        <v>6.6</v>
      </c>
      <c r="AU77" s="432">
        <f>ROUND(0/2,1)</f>
        <v>0</v>
      </c>
      <c r="AV77" s="432">
        <f>ROUND(0/2,1)</f>
        <v>0</v>
      </c>
      <c r="AW77" s="432">
        <f>ROUND(6.5/4,1)</f>
        <v>1.6</v>
      </c>
      <c r="AX77" s="432">
        <f>ROUND(6.5/4,1)</f>
        <v>1.6</v>
      </c>
      <c r="AY77" s="432">
        <f>ROUND(6.5/4,1)</f>
        <v>1.6</v>
      </c>
      <c r="AZ77" s="432">
        <f>ROUND(6.5/4,1)+0.1</f>
        <v>1.7000000000000002</v>
      </c>
      <c r="BA77" s="429">
        <f>ROUND(19.5/5,1)</f>
        <v>3.9</v>
      </c>
      <c r="BB77" s="418">
        <f t="shared" ref="BB77:BE77" si="89">ROUND(19.5/5,1)</f>
        <v>3.9</v>
      </c>
      <c r="BC77" s="418">
        <f t="shared" si="89"/>
        <v>3.9</v>
      </c>
      <c r="BD77" s="429">
        <f t="shared" si="89"/>
        <v>3.9</v>
      </c>
      <c r="BE77" s="450">
        <f t="shared" si="89"/>
        <v>3.9</v>
      </c>
      <c r="BF77" s="379"/>
      <c r="BG77" s="368"/>
      <c r="BH77" s="333" t="str">
        <f ca="1">INDIRECT(ADDRESS(MATCH($B77,'【別紙1】標高（入力）'!$B:$B,0),'【別紙1】標高（入力）'!$N$2,4,TRUE,"【別紙1】標高（入力）"))</f>
        <v>R1</v>
      </c>
      <c r="BI77" s="340">
        <f ca="1">INDIRECT(ADDRESS(MATCH($B77,'【別紙1】標高（入力）'!$B:$B,0),'【別紙1】標高（入力）'!$O$2,4,TRUE,"【別紙1】標高（入力）"))</f>
        <v>4.8864999999999998</v>
      </c>
      <c r="BJ77" s="394"/>
    </row>
    <row r="78" spans="1:62" ht="15.95" customHeight="1">
      <c r="A78" s="119">
        <v>401</v>
      </c>
      <c r="B78" s="107" t="s">
        <v>1177</v>
      </c>
      <c r="C78" s="114" t="s">
        <v>132</v>
      </c>
      <c r="D78" s="110" t="s">
        <v>711</v>
      </c>
      <c r="E78" s="109" t="s">
        <v>134</v>
      </c>
      <c r="F78" s="111" t="s">
        <v>9</v>
      </c>
      <c r="G78" s="112" t="s">
        <v>10</v>
      </c>
      <c r="H78" s="112" t="s">
        <v>541</v>
      </c>
      <c r="I78" s="112" t="s">
        <v>284</v>
      </c>
      <c r="J78" s="112" t="s">
        <v>263</v>
      </c>
      <c r="K78" s="224"/>
      <c r="L78" s="228"/>
      <c r="M78" s="221"/>
      <c r="N78" s="124">
        <v>-0.9</v>
      </c>
      <c r="O78" s="124">
        <v>-2</v>
      </c>
      <c r="P78" s="124">
        <v>14.6</v>
      </c>
      <c r="Q78" s="124">
        <v>5.9</v>
      </c>
      <c r="R78" s="124">
        <v>1.1000000000000001</v>
      </c>
      <c r="S78" s="124">
        <v>-1.6</v>
      </c>
      <c r="T78" s="124">
        <v>2.8</v>
      </c>
      <c r="U78" s="124">
        <v>1.7</v>
      </c>
      <c r="V78" s="123">
        <v>2</v>
      </c>
      <c r="W78" s="432">
        <f>ROUND(11.6/2,1)</f>
        <v>5.8</v>
      </c>
      <c r="X78" s="432">
        <f>ROUND(11.6/2,1)</f>
        <v>5.8</v>
      </c>
      <c r="Y78" s="432">
        <f>ROUND(4/4,1)</f>
        <v>1</v>
      </c>
      <c r="Z78" s="432">
        <f t="shared" ref="Z78:AB78" si="90">ROUND(4/4,1)</f>
        <v>1</v>
      </c>
      <c r="AA78" s="432">
        <f t="shared" si="90"/>
        <v>1</v>
      </c>
      <c r="AB78" s="432">
        <f t="shared" si="90"/>
        <v>1</v>
      </c>
      <c r="AC78" s="432">
        <f>ROUND(4.3/3,1)</f>
        <v>1.4</v>
      </c>
      <c r="AD78" s="432">
        <f t="shared" ref="AD78" si="91">ROUND(4.3/3,1)</f>
        <v>1.4</v>
      </c>
      <c r="AE78" s="432">
        <f>ROUND(4.3/3,1)+0.1</f>
        <v>1.5</v>
      </c>
      <c r="AF78" s="432">
        <f>ROUND(3.7/3,1)</f>
        <v>1.2</v>
      </c>
      <c r="AG78" s="432">
        <f>ROUND(3.7/3,1)</f>
        <v>1.2</v>
      </c>
      <c r="AH78" s="432">
        <f>ROUND(3.7/3,1)+0.1</f>
        <v>1.3</v>
      </c>
      <c r="AI78" s="432">
        <f>ROUND(24.8/8,1)</f>
        <v>3.1</v>
      </c>
      <c r="AJ78" s="432">
        <f t="shared" ref="AJ78:AP78" si="92">ROUND(24.8/8,1)</f>
        <v>3.1</v>
      </c>
      <c r="AK78" s="432">
        <f t="shared" si="92"/>
        <v>3.1</v>
      </c>
      <c r="AL78" s="432">
        <f t="shared" si="92"/>
        <v>3.1</v>
      </c>
      <c r="AM78" s="432">
        <f t="shared" si="92"/>
        <v>3.1</v>
      </c>
      <c r="AN78" s="432">
        <f t="shared" si="92"/>
        <v>3.1</v>
      </c>
      <c r="AO78" s="432">
        <f t="shared" si="92"/>
        <v>3.1</v>
      </c>
      <c r="AP78" s="432">
        <f t="shared" si="92"/>
        <v>3.1</v>
      </c>
      <c r="AQ78" s="432">
        <f>ROUND(-1.8/5,1)</f>
        <v>-0.4</v>
      </c>
      <c r="AR78" s="432">
        <f t="shared" ref="AR78:AT78" si="93">ROUND(-1.8/5,1)</f>
        <v>-0.4</v>
      </c>
      <c r="AS78" s="432">
        <f t="shared" si="93"/>
        <v>-0.4</v>
      </c>
      <c r="AT78" s="432">
        <f t="shared" si="93"/>
        <v>-0.4</v>
      </c>
      <c r="AU78" s="432">
        <f>ROUND(-1.8/5,1)+0.2</f>
        <v>-0.2</v>
      </c>
      <c r="AV78" s="122">
        <v>1.4</v>
      </c>
      <c r="AW78" s="432">
        <f>ROUND(2.3/5,1)</f>
        <v>0.5</v>
      </c>
      <c r="AX78" s="432">
        <f t="shared" ref="AX78:AZ78" si="94">ROUND(2.3/5,1)</f>
        <v>0.5</v>
      </c>
      <c r="AY78" s="432">
        <f t="shared" si="94"/>
        <v>0.5</v>
      </c>
      <c r="AZ78" s="432">
        <f t="shared" si="94"/>
        <v>0.5</v>
      </c>
      <c r="BA78" s="432">
        <f>ROUND(2.3/5,1)-0.2</f>
        <v>0.3</v>
      </c>
      <c r="BB78" s="122"/>
      <c r="BC78" s="122"/>
      <c r="BD78" s="122" t="s">
        <v>247</v>
      </c>
      <c r="BE78" s="142" t="s">
        <v>247</v>
      </c>
      <c r="BF78" s="379"/>
      <c r="BG78" s="368"/>
      <c r="BH78" s="333" t="str">
        <f ca="1">INDIRECT(ADDRESS(MATCH($B78,'【別紙1】標高（入力）'!$B:$B,0),'【別紙1】標高（入力）'!$N$2,4,TRUE,"【別紙1】標高（入力）"))</f>
        <v>R2</v>
      </c>
      <c r="BI78" s="340">
        <f ca="1">INDIRECT(ADDRESS(MATCH($B78,'【別紙1】標高（入力）'!$B:$B,0),'【別紙1】標高（入力）'!$O$2,4,TRUE,"【別紙1】標高（入力）"))</f>
        <v>14.5783</v>
      </c>
      <c r="BJ78" s="392"/>
    </row>
    <row r="79" spans="1:62" ht="15.95" customHeight="1">
      <c r="A79" s="119">
        <v>402</v>
      </c>
      <c r="B79" s="107" t="s">
        <v>463</v>
      </c>
      <c r="C79" s="114" t="s">
        <v>132</v>
      </c>
      <c r="D79" s="110" t="s">
        <v>573</v>
      </c>
      <c r="E79" s="109" t="s">
        <v>136</v>
      </c>
      <c r="F79" s="111" t="s">
        <v>12</v>
      </c>
      <c r="G79" s="112" t="s">
        <v>73</v>
      </c>
      <c r="H79" s="112" t="s">
        <v>541</v>
      </c>
      <c r="I79" s="112" t="s">
        <v>284</v>
      </c>
      <c r="J79" s="112" t="s">
        <v>263</v>
      </c>
      <c r="K79" s="224"/>
      <c r="L79" s="228"/>
      <c r="M79" s="228"/>
      <c r="N79" s="228"/>
      <c r="O79" s="432">
        <f>ROUND(12.3/2,1)</f>
        <v>6.2</v>
      </c>
      <c r="P79" s="432">
        <f>ROUND(12.3/2,1)-0.1</f>
        <v>6.1000000000000005</v>
      </c>
      <c r="Q79" s="127">
        <v>4.7</v>
      </c>
      <c r="R79" s="124">
        <v>2.2000000000000002</v>
      </c>
      <c r="S79" s="124">
        <v>-1.6</v>
      </c>
      <c r="T79" s="124">
        <v>4.0999999999999996</v>
      </c>
      <c r="U79" s="124">
        <v>0.7</v>
      </c>
      <c r="V79" s="123">
        <v>-0.3</v>
      </c>
      <c r="W79" s="432">
        <f>ROUND(8.3/2,1)</f>
        <v>4.2</v>
      </c>
      <c r="X79" s="432">
        <f>ROUND(8.3/2,1)-0.1</f>
        <v>4.1000000000000005</v>
      </c>
      <c r="Y79" s="432">
        <f>ROUND(6.4/4,1)</f>
        <v>1.6</v>
      </c>
      <c r="Z79" s="432">
        <f t="shared" ref="Z79:AB79" si="95">ROUND(6.4/4,1)</f>
        <v>1.6</v>
      </c>
      <c r="AA79" s="432">
        <f t="shared" si="95"/>
        <v>1.6</v>
      </c>
      <c r="AB79" s="432">
        <f t="shared" si="95"/>
        <v>1.6</v>
      </c>
      <c r="AC79" s="432">
        <f>ROUND(6.2/3,1)</f>
        <v>2.1</v>
      </c>
      <c r="AD79" s="432">
        <f t="shared" ref="AD79" si="96">ROUND(6.2/3,1)</f>
        <v>2.1</v>
      </c>
      <c r="AE79" s="432">
        <f>ROUND(6.2/3,1)-0.1</f>
        <v>2</v>
      </c>
      <c r="AF79" s="432">
        <f>ROUND(5.3/3,1)</f>
        <v>1.8</v>
      </c>
      <c r="AG79" s="432">
        <f>ROUND(5.3/3,1)</f>
        <v>1.8</v>
      </c>
      <c r="AH79" s="432">
        <f>ROUND(5.3/3,1)-0.1</f>
        <v>1.7</v>
      </c>
      <c r="AI79" s="432">
        <f>ROUND(10.9/6,1)</f>
        <v>1.8</v>
      </c>
      <c r="AJ79" s="432">
        <f t="shared" ref="AJ79:AM79" si="97">ROUND(10.9/6,1)</f>
        <v>1.8</v>
      </c>
      <c r="AK79" s="432">
        <f t="shared" si="97"/>
        <v>1.8</v>
      </c>
      <c r="AL79" s="432">
        <f t="shared" si="97"/>
        <v>1.8</v>
      </c>
      <c r="AM79" s="432">
        <f t="shared" si="97"/>
        <v>1.8</v>
      </c>
      <c r="AN79" s="432">
        <f>ROUND(10.9/6,1)+0.1</f>
        <v>1.9000000000000001</v>
      </c>
      <c r="AO79" s="432">
        <f>ROUND(15.2/2,1)</f>
        <v>7.6</v>
      </c>
      <c r="AP79" s="432">
        <f>ROUND(15.2/2,1)</f>
        <v>7.6</v>
      </c>
      <c r="AQ79" s="432">
        <f>ROUND(-1.1/5,1)</f>
        <v>-0.2</v>
      </c>
      <c r="AR79" s="432">
        <f t="shared" ref="AR79:AT79" si="98">ROUND(-1.1/5,1)</f>
        <v>-0.2</v>
      </c>
      <c r="AS79" s="432">
        <f t="shared" si="98"/>
        <v>-0.2</v>
      </c>
      <c r="AT79" s="432">
        <f t="shared" si="98"/>
        <v>-0.2</v>
      </c>
      <c r="AU79" s="432">
        <f>ROUND(-1.1/5,1)-0.1</f>
        <v>-0.30000000000000004</v>
      </c>
      <c r="AV79" s="122">
        <v>1.7</v>
      </c>
      <c r="AW79" s="432">
        <f>ROUND(2/5,1)</f>
        <v>0.4</v>
      </c>
      <c r="AX79" s="432">
        <f t="shared" ref="AX79:BA79" si="99">ROUND(2/5,1)</f>
        <v>0.4</v>
      </c>
      <c r="AY79" s="432">
        <f t="shared" si="99"/>
        <v>0.4</v>
      </c>
      <c r="AZ79" s="432">
        <f t="shared" si="99"/>
        <v>0.4</v>
      </c>
      <c r="BA79" s="432">
        <f t="shared" si="99"/>
        <v>0.4</v>
      </c>
      <c r="BB79" s="122"/>
      <c r="BC79" s="122"/>
      <c r="BD79" s="122" t="s">
        <v>247</v>
      </c>
      <c r="BE79" s="142" t="s">
        <v>247</v>
      </c>
      <c r="BF79" s="379"/>
      <c r="BG79" s="368"/>
      <c r="BH79" s="333" t="e">
        <f ca="1">INDIRECT(ADDRESS(MATCH($B79,'【別紙1】標高（入力）'!$B:$B,0),'【別紙1】標高（入力）'!$N$2,4,TRUE,"【別紙1】標高（入力）"))</f>
        <v>#N/A</v>
      </c>
      <c r="BI79" s="340" t="e">
        <f ca="1">INDIRECT(ADDRESS(MATCH($B79,'【別紙1】標高（入力）'!$B:$B,0),'【別紙1】標高（入力）'!$O$2,4,TRUE,"【別紙1】標高（入力）"))</f>
        <v>#N/A</v>
      </c>
      <c r="BJ79" s="392"/>
    </row>
    <row r="80" spans="1:62" ht="15.95" customHeight="1">
      <c r="A80" s="119">
        <v>403</v>
      </c>
      <c r="B80" s="107" t="s">
        <v>464</v>
      </c>
      <c r="C80" s="114" t="s">
        <v>132</v>
      </c>
      <c r="D80" s="110" t="s">
        <v>668</v>
      </c>
      <c r="E80" s="109" t="s">
        <v>138</v>
      </c>
      <c r="F80" s="111" t="s">
        <v>9</v>
      </c>
      <c r="G80" s="112" t="s">
        <v>10</v>
      </c>
      <c r="H80" s="112" t="s">
        <v>541</v>
      </c>
      <c r="I80" s="112" t="s">
        <v>284</v>
      </c>
      <c r="J80" s="112" t="s">
        <v>263</v>
      </c>
      <c r="K80" s="224"/>
      <c r="L80" s="228"/>
      <c r="M80" s="228"/>
      <c r="N80" s="432">
        <f>ROUND(5.6/3,1)</f>
        <v>1.9</v>
      </c>
      <c r="O80" s="432">
        <f>ROUND(5.6/3,1)</f>
        <v>1.9</v>
      </c>
      <c r="P80" s="432">
        <f>ROUND(5.6/3,1)-0.1</f>
        <v>1.7999999999999998</v>
      </c>
      <c r="Q80" s="127">
        <v>6.8</v>
      </c>
      <c r="R80" s="123">
        <v>0.4</v>
      </c>
      <c r="S80" s="432">
        <f>ROUND(2.4/2,1)</f>
        <v>1.2</v>
      </c>
      <c r="T80" s="432">
        <f>ROUND(2.4/2,1)</f>
        <v>1.2</v>
      </c>
      <c r="U80" s="432">
        <f>ROUND(9.1/4,1)</f>
        <v>2.2999999999999998</v>
      </c>
      <c r="V80" s="432">
        <f>ROUND(9.1/4,1)</f>
        <v>2.2999999999999998</v>
      </c>
      <c r="W80" s="432">
        <f>ROUND(9.1/4,1)</f>
        <v>2.2999999999999998</v>
      </c>
      <c r="X80" s="432">
        <f>ROUND(9.1/4,1)-0.1</f>
        <v>2.1999999999999997</v>
      </c>
      <c r="Y80" s="432">
        <f>ROUND(10.5/4,1)</f>
        <v>2.6</v>
      </c>
      <c r="Z80" s="432">
        <f t="shared" ref="Z80:AA80" si="100">ROUND(10.5/4,1)</f>
        <v>2.6</v>
      </c>
      <c r="AA80" s="432">
        <f t="shared" si="100"/>
        <v>2.6</v>
      </c>
      <c r="AB80" s="432">
        <f>ROUND(10.5/4,1)+0.1</f>
        <v>2.7</v>
      </c>
      <c r="AC80" s="432">
        <f>ROUND(3.4/3,1)</f>
        <v>1.1000000000000001</v>
      </c>
      <c r="AD80" s="432">
        <f>ROUND(3.4/3,1)</f>
        <v>1.1000000000000001</v>
      </c>
      <c r="AE80" s="432">
        <f>ROUND(3.4/3,1)+0.1</f>
        <v>1.2000000000000002</v>
      </c>
      <c r="AF80" s="432">
        <f>ROUND(3.2/3,1)</f>
        <v>1.1000000000000001</v>
      </c>
      <c r="AG80" s="432">
        <f>ROUND(3.2/3,1)</f>
        <v>1.1000000000000001</v>
      </c>
      <c r="AH80" s="432">
        <f>ROUND(3.2/3,1)-0.1</f>
        <v>1</v>
      </c>
      <c r="AI80" s="432">
        <f>ROUND(26.6/8,1)</f>
        <v>3.3</v>
      </c>
      <c r="AJ80" s="432">
        <f t="shared" ref="AJ80:AN80" si="101">ROUND(26.6/8,1)</f>
        <v>3.3</v>
      </c>
      <c r="AK80" s="432">
        <f t="shared" si="101"/>
        <v>3.3</v>
      </c>
      <c r="AL80" s="432">
        <f t="shared" si="101"/>
        <v>3.3</v>
      </c>
      <c r="AM80" s="432">
        <f t="shared" si="101"/>
        <v>3.3</v>
      </c>
      <c r="AN80" s="432">
        <f t="shared" si="101"/>
        <v>3.3</v>
      </c>
      <c r="AO80" s="432">
        <f>ROUND(26.6/8,1)+0.1</f>
        <v>3.4</v>
      </c>
      <c r="AP80" s="432">
        <f>ROUND(26.6/8,1)+0.1</f>
        <v>3.4</v>
      </c>
      <c r="AQ80" s="432">
        <f>ROUND(-2/4,1)</f>
        <v>-0.5</v>
      </c>
      <c r="AR80" s="432">
        <f t="shared" ref="AR80:AT80" si="102">ROUND(-2/4,1)</f>
        <v>-0.5</v>
      </c>
      <c r="AS80" s="432">
        <f t="shared" si="102"/>
        <v>-0.5</v>
      </c>
      <c r="AT80" s="432">
        <f t="shared" si="102"/>
        <v>-0.5</v>
      </c>
      <c r="AU80" s="122">
        <v>-1</v>
      </c>
      <c r="AV80" s="432">
        <f>ROUND(3.3/4,1)</f>
        <v>0.8</v>
      </c>
      <c r="AW80" s="432">
        <f t="shared" ref="AW80:AX80" si="103">ROUND(3.3/4,1)</f>
        <v>0.8</v>
      </c>
      <c r="AX80" s="432">
        <f t="shared" si="103"/>
        <v>0.8</v>
      </c>
      <c r="AY80" s="432">
        <f>ROUND(3.3/4,1)+0.1</f>
        <v>0.9</v>
      </c>
      <c r="AZ80" s="432">
        <f>ROUND(-0.6/2,1)</f>
        <v>-0.3</v>
      </c>
      <c r="BA80" s="432">
        <f>ROUND(-0.6/2,1)</f>
        <v>-0.3</v>
      </c>
      <c r="BB80" s="432">
        <f>ROUND(-0.7/3,1)</f>
        <v>-0.2</v>
      </c>
      <c r="BC80" s="430">
        <f>ROUND(-0.7/3,1)</f>
        <v>-0.2</v>
      </c>
      <c r="BD80" s="429">
        <f>ROUND(-0.7/3,1)-0.1</f>
        <v>-0.30000000000000004</v>
      </c>
      <c r="BE80" s="141" t="s">
        <v>247</v>
      </c>
      <c r="BF80" s="431"/>
      <c r="BG80" s="368"/>
      <c r="BH80" s="333" t="str">
        <f ca="1">INDIRECT(ADDRESS(MATCH($B80,'【別紙1】標高（入力）'!$B:$B,0),'【別紙1】標高（入力）'!$N$2,4,TRUE,"【別紙1】標高（入力）"))</f>
        <v>R2</v>
      </c>
      <c r="BI80" s="340">
        <f ca="1">INDIRECT(ADDRESS(MATCH($B80,'【別紙1】標高（入力）'!$B:$B,0),'【別紙1】標高（入力）'!$O$2,4,TRUE,"【別紙1】標高（入力）"))</f>
        <v>23.9452</v>
      </c>
      <c r="BJ80" s="392"/>
    </row>
    <row r="81" spans="1:62" ht="15.95" customHeight="1">
      <c r="A81" s="119">
        <v>404</v>
      </c>
      <c r="B81" s="107" t="s">
        <v>465</v>
      </c>
      <c r="C81" s="114" t="s">
        <v>132</v>
      </c>
      <c r="D81" s="110" t="s">
        <v>643</v>
      </c>
      <c r="E81" s="109" t="s">
        <v>140</v>
      </c>
      <c r="F81" s="111" t="s">
        <v>9</v>
      </c>
      <c r="G81" s="112" t="s">
        <v>10</v>
      </c>
      <c r="H81" s="112" t="s">
        <v>541</v>
      </c>
      <c r="I81" s="112" t="s">
        <v>141</v>
      </c>
      <c r="J81" s="112" t="s">
        <v>547</v>
      </c>
      <c r="K81" s="224"/>
      <c r="L81" s="228"/>
      <c r="M81" s="221"/>
      <c r="N81" s="124">
        <v>-5</v>
      </c>
      <c r="O81" s="124">
        <v>-5.2</v>
      </c>
      <c r="P81" s="124">
        <v>14.7</v>
      </c>
      <c r="Q81" s="124">
        <v>3.4</v>
      </c>
      <c r="R81" s="124">
        <v>3</v>
      </c>
      <c r="S81" s="124">
        <v>-2.8</v>
      </c>
      <c r="T81" s="124">
        <v>0.8</v>
      </c>
      <c r="U81" s="124">
        <v>2.2000000000000002</v>
      </c>
      <c r="V81" s="123">
        <v>-3.5</v>
      </c>
      <c r="W81" s="432">
        <f>ROUND(17.8/6,1)</f>
        <v>3</v>
      </c>
      <c r="X81" s="432">
        <f t="shared" ref="X81:Z81" si="104">ROUND(17.8/6,1)</f>
        <v>3</v>
      </c>
      <c r="Y81" s="432">
        <f t="shared" si="104"/>
        <v>3</v>
      </c>
      <c r="Z81" s="432">
        <f t="shared" si="104"/>
        <v>3</v>
      </c>
      <c r="AA81" s="432">
        <f>ROUND(17.8/6,1)-0.1</f>
        <v>2.9</v>
      </c>
      <c r="AB81" s="432">
        <f>ROUND(17.8/6,1)-0.1</f>
        <v>2.9</v>
      </c>
      <c r="AC81" s="432">
        <f>ROUND(1.1/3,1)</f>
        <v>0.4</v>
      </c>
      <c r="AD81" s="432">
        <f>ROUND(1.1/3,1)</f>
        <v>0.4</v>
      </c>
      <c r="AE81" s="432">
        <f>ROUND(1.1/3,1)-0.1</f>
        <v>0.30000000000000004</v>
      </c>
      <c r="AF81" s="432">
        <f>ROUND(1.8/3,1)</f>
        <v>0.6</v>
      </c>
      <c r="AG81" s="432">
        <f>ROUND(1.8/3,1)</f>
        <v>0.6</v>
      </c>
      <c r="AH81" s="432">
        <f>ROUND(1.8/3,1)</f>
        <v>0.6</v>
      </c>
      <c r="AI81" s="432">
        <f>ROUND(7.5/6,1)</f>
        <v>1.3</v>
      </c>
      <c r="AJ81" s="432">
        <f t="shared" ref="AJ81:AK81" si="105">ROUND(7.5/6,1)</f>
        <v>1.3</v>
      </c>
      <c r="AK81" s="432">
        <f t="shared" si="105"/>
        <v>1.3</v>
      </c>
      <c r="AL81" s="432">
        <f>ROUND(7.5/6,1)-0.1</f>
        <v>1.2</v>
      </c>
      <c r="AM81" s="432">
        <f>ROUND(7.5/6,1)-0.1</f>
        <v>1.2</v>
      </c>
      <c r="AN81" s="432">
        <f>ROUND(7.5/6,1)-0.1</f>
        <v>1.2</v>
      </c>
      <c r="AO81" s="432">
        <f>ROUND(14.4/2,1)</f>
        <v>7.2</v>
      </c>
      <c r="AP81" s="432">
        <f>ROUND(14.4/2,1)</f>
        <v>7.2</v>
      </c>
      <c r="AQ81" s="432">
        <f>ROUND(-3.1/4,1)</f>
        <v>-0.8</v>
      </c>
      <c r="AR81" s="432">
        <f t="shared" ref="AR81:AS81" si="106">ROUND(-3.1/4,1)</f>
        <v>-0.8</v>
      </c>
      <c r="AS81" s="432">
        <f t="shared" si="106"/>
        <v>-0.8</v>
      </c>
      <c r="AT81" s="432">
        <f>ROUND(-3.1/4,1)+0.1</f>
        <v>-0.70000000000000007</v>
      </c>
      <c r="AU81" s="121">
        <v>-0.1</v>
      </c>
      <c r="AV81" s="122">
        <v>2.2000000000000002</v>
      </c>
      <c r="AW81" s="432">
        <f>ROUND(1.3/3,1)</f>
        <v>0.4</v>
      </c>
      <c r="AX81" s="432">
        <f t="shared" ref="AX81" si="107">ROUND(1.3/3,1)</f>
        <v>0.4</v>
      </c>
      <c r="AY81" s="432">
        <f>ROUND(1.3/3,1)+0.1</f>
        <v>0.5</v>
      </c>
      <c r="AZ81" s="432">
        <f>ROUND(-2.1/2,1)</f>
        <v>-1.1000000000000001</v>
      </c>
      <c r="BA81" s="432">
        <f>ROUND(-2.1/2,1)+0.1</f>
        <v>-1</v>
      </c>
      <c r="BB81" s="432">
        <f>ROUND(-0.7/3,1)</f>
        <v>-0.2</v>
      </c>
      <c r="BC81" s="430">
        <f>ROUND(-0.7/3,1)</f>
        <v>-0.2</v>
      </c>
      <c r="BD81" s="429">
        <f>ROUND(-0.7/3,1)-0.1</f>
        <v>-0.30000000000000004</v>
      </c>
      <c r="BE81" s="141" t="s">
        <v>247</v>
      </c>
      <c r="BF81" s="431"/>
      <c r="BG81" s="368"/>
      <c r="BH81" s="333" t="str">
        <f ca="1">INDIRECT(ADDRESS(MATCH($B81,'【別紙1】標高（入力）'!$B:$B,0),'【別紙1】標高（入力）'!$N$2,4,TRUE,"【別紙1】標高（入力）"))</f>
        <v>R2</v>
      </c>
      <c r="BI81" s="340">
        <f ca="1">INDIRECT(ADDRESS(MATCH($B81,'【別紙1】標高（入力）'!$B:$B,0),'【別紙1】標高（入力）'!$O$2,4,TRUE,"【別紙1】標高（入力）"))</f>
        <v>23.8627</v>
      </c>
      <c r="BJ81" s="392"/>
    </row>
    <row r="82" spans="1:62" ht="15.95" customHeight="1">
      <c r="A82" s="119">
        <v>405</v>
      </c>
      <c r="B82" s="107" t="s">
        <v>466</v>
      </c>
      <c r="C82" s="114" t="s">
        <v>132</v>
      </c>
      <c r="D82" s="110" t="s">
        <v>669</v>
      </c>
      <c r="E82" s="109" t="s">
        <v>143</v>
      </c>
      <c r="F82" s="111" t="s">
        <v>12</v>
      </c>
      <c r="G82" s="112" t="s">
        <v>10</v>
      </c>
      <c r="H82" s="112" t="s">
        <v>541</v>
      </c>
      <c r="I82" s="112" t="s">
        <v>141</v>
      </c>
      <c r="J82" s="112" t="s">
        <v>547</v>
      </c>
      <c r="K82" s="224"/>
      <c r="L82" s="228"/>
      <c r="M82" s="221"/>
      <c r="N82" s="124">
        <v>-4.9000000000000004</v>
      </c>
      <c r="O82" s="124">
        <v>-6.2</v>
      </c>
      <c r="P82" s="124">
        <v>14.8</v>
      </c>
      <c r="Q82" s="124">
        <v>3.8</v>
      </c>
      <c r="R82" s="123">
        <v>3.7</v>
      </c>
      <c r="S82" s="432">
        <f>ROUND(-2.2/2,1)</f>
        <v>-1.1000000000000001</v>
      </c>
      <c r="T82" s="432">
        <f>ROUND(-2.2/2,1)</f>
        <v>-1.1000000000000001</v>
      </c>
      <c r="U82" s="432">
        <f>ROUND(-2.1/2,1)</f>
        <v>-1.1000000000000001</v>
      </c>
      <c r="V82" s="432">
        <f>ROUND(-2.1/2,1)+0.1</f>
        <v>-1</v>
      </c>
      <c r="W82" s="432">
        <f>ROUND(19.1/6,1)</f>
        <v>3.2</v>
      </c>
      <c r="X82" s="432">
        <f t="shared" ref="X82:AA82" si="108">ROUND(19.1/6,1)</f>
        <v>3.2</v>
      </c>
      <c r="Y82" s="432">
        <f t="shared" si="108"/>
        <v>3.2</v>
      </c>
      <c r="Z82" s="432">
        <f t="shared" si="108"/>
        <v>3.2</v>
      </c>
      <c r="AA82" s="432">
        <f t="shared" si="108"/>
        <v>3.2</v>
      </c>
      <c r="AB82" s="432">
        <f>ROUND(19.1/6,1)-0.1</f>
        <v>3.1</v>
      </c>
      <c r="AC82" s="432">
        <f>ROUND(-1.5/3,1)</f>
        <v>-0.5</v>
      </c>
      <c r="AD82" s="432">
        <f>ROUND(-1.5/3,1)</f>
        <v>-0.5</v>
      </c>
      <c r="AE82" s="432">
        <f>ROUND(-1.5/3,1)</f>
        <v>-0.5</v>
      </c>
      <c r="AF82" s="432">
        <f>ROUND(2.1/3,1)</f>
        <v>0.7</v>
      </c>
      <c r="AG82" s="432">
        <f>ROUND(2.1/3,1)</f>
        <v>0.7</v>
      </c>
      <c r="AH82" s="432">
        <f>ROUND(2.1/3,1)</f>
        <v>0.7</v>
      </c>
      <c r="AI82" s="432">
        <f>ROUND(8.5/6,1)</f>
        <v>1.4</v>
      </c>
      <c r="AJ82" s="432">
        <f t="shared" ref="AJ82:AM82" si="109">ROUND(8.5/6,1)</f>
        <v>1.4</v>
      </c>
      <c r="AK82" s="432">
        <f t="shared" si="109"/>
        <v>1.4</v>
      </c>
      <c r="AL82" s="432">
        <f t="shared" si="109"/>
        <v>1.4</v>
      </c>
      <c r="AM82" s="432">
        <f t="shared" si="109"/>
        <v>1.4</v>
      </c>
      <c r="AN82" s="432">
        <f>ROUND(8.5/6,1)+0.1</f>
        <v>1.5</v>
      </c>
      <c r="AO82" s="432">
        <f>ROUND(14.6/2,1)</f>
        <v>7.3</v>
      </c>
      <c r="AP82" s="432">
        <f>ROUND(14.6/2,1)</f>
        <v>7.3</v>
      </c>
      <c r="AQ82" s="432">
        <f>ROUND(-3.2/4,1)</f>
        <v>-0.8</v>
      </c>
      <c r="AR82" s="432">
        <f t="shared" ref="AR82:AT82" si="110">ROUND(-3.2/4,1)</f>
        <v>-0.8</v>
      </c>
      <c r="AS82" s="432">
        <f t="shared" si="110"/>
        <v>-0.8</v>
      </c>
      <c r="AT82" s="432">
        <f t="shared" si="110"/>
        <v>-0.8</v>
      </c>
      <c r="AU82" s="122">
        <v>1</v>
      </c>
      <c r="AV82" s="125">
        <v>2.1</v>
      </c>
      <c r="AW82" s="432">
        <f>ROUND(0.9/3,1)</f>
        <v>0.3</v>
      </c>
      <c r="AX82" s="432">
        <f t="shared" ref="AX82:AY82" si="111">ROUND(0.9/3,1)</f>
        <v>0.3</v>
      </c>
      <c r="AY82" s="432">
        <f t="shared" si="111"/>
        <v>0.3</v>
      </c>
      <c r="AZ82" s="432">
        <f>ROUND(-1.3/2,1)</f>
        <v>-0.7</v>
      </c>
      <c r="BA82" s="432">
        <f>ROUND(-1.3/2,1)+0.1</f>
        <v>-0.6</v>
      </c>
      <c r="BB82" s="432">
        <f>ROUND(-0.1/3,1)</f>
        <v>0</v>
      </c>
      <c r="BC82" s="430">
        <f>ROUND(-0.1/3,1)</f>
        <v>0</v>
      </c>
      <c r="BD82" s="429">
        <f>ROUND(-0.1/3,1)-0.1</f>
        <v>-0.1</v>
      </c>
      <c r="BE82" s="141" t="s">
        <v>247</v>
      </c>
      <c r="BF82" s="431"/>
      <c r="BG82" s="368"/>
      <c r="BH82" s="333" t="e">
        <f ca="1">INDIRECT(ADDRESS(MATCH($B82,'【別紙1】標高（入力）'!$B:$B,0),'【別紙1】標高（入力）'!$N$2,4,TRUE,"【別紙1】標高（入力）"))</f>
        <v>#N/A</v>
      </c>
      <c r="BI82" s="340" t="e">
        <f ca="1">INDIRECT(ADDRESS(MATCH($B82,'【別紙1】標高（入力）'!$B:$B,0),'【別紙1】標高（入力）'!$O$2,4,TRUE,"【別紙1】標高（入力）"))</f>
        <v>#N/A</v>
      </c>
      <c r="BJ82" s="392"/>
    </row>
    <row r="83" spans="1:62" ht="15.95" customHeight="1">
      <c r="A83" s="119">
        <v>406</v>
      </c>
      <c r="B83" s="107" t="s">
        <v>467</v>
      </c>
      <c r="C83" s="114" t="s">
        <v>132</v>
      </c>
      <c r="D83" s="110" t="s">
        <v>644</v>
      </c>
      <c r="E83" s="109" t="s">
        <v>144</v>
      </c>
      <c r="F83" s="111" t="s">
        <v>12</v>
      </c>
      <c r="G83" s="112" t="s">
        <v>10</v>
      </c>
      <c r="H83" s="112" t="s">
        <v>541</v>
      </c>
      <c r="I83" s="112" t="s">
        <v>141</v>
      </c>
      <c r="J83" s="112" t="s">
        <v>547</v>
      </c>
      <c r="K83" s="224"/>
      <c r="L83" s="228"/>
      <c r="M83" s="221"/>
      <c r="N83" s="124">
        <v>-2.4</v>
      </c>
      <c r="O83" s="124">
        <v>-7.7</v>
      </c>
      <c r="P83" s="124">
        <v>14.2</v>
      </c>
      <c r="Q83" s="124">
        <v>3.8</v>
      </c>
      <c r="R83" s="123">
        <v>6.9</v>
      </c>
      <c r="S83" s="432">
        <f>ROUND(-2.5/2,1)</f>
        <v>-1.3</v>
      </c>
      <c r="T83" s="432">
        <f>ROUND(-2.5/2,1)+0.1</f>
        <v>-1.2</v>
      </c>
      <c r="U83" s="432">
        <f>ROUND(-1.9/2,1)</f>
        <v>-1</v>
      </c>
      <c r="V83" s="432">
        <f>ROUND(-1.9/2,1)+0.1</f>
        <v>-0.9</v>
      </c>
      <c r="W83" s="432">
        <f>ROUND(23.3/6,1)</f>
        <v>3.9</v>
      </c>
      <c r="X83" s="432">
        <f t="shared" ref="X83:AA83" si="112">ROUND(23.3/6,1)</f>
        <v>3.9</v>
      </c>
      <c r="Y83" s="432">
        <f t="shared" si="112"/>
        <v>3.9</v>
      </c>
      <c r="Z83" s="432">
        <f t="shared" si="112"/>
        <v>3.9</v>
      </c>
      <c r="AA83" s="432">
        <f t="shared" si="112"/>
        <v>3.9</v>
      </c>
      <c r="AB83" s="432">
        <f>ROUND(23.3/6,1)-0.1</f>
        <v>3.8</v>
      </c>
      <c r="AC83" s="432">
        <f>ROUND(1.2/3,1)</f>
        <v>0.4</v>
      </c>
      <c r="AD83" s="432">
        <f>ROUND(1.2/3,1)</f>
        <v>0.4</v>
      </c>
      <c r="AE83" s="432">
        <f>ROUND(1.2/3,1)</f>
        <v>0.4</v>
      </c>
      <c r="AF83" s="432">
        <f>ROUND(2.6/3,1)</f>
        <v>0.9</v>
      </c>
      <c r="AG83" s="432">
        <f>ROUND(2.6/3,1)</f>
        <v>0.9</v>
      </c>
      <c r="AH83" s="432">
        <f>ROUND(2.6/3,1)-0.1</f>
        <v>0.8</v>
      </c>
      <c r="AI83" s="432">
        <f>ROUND(24.8/8,1)</f>
        <v>3.1</v>
      </c>
      <c r="AJ83" s="432">
        <f t="shared" ref="AJ83:AP83" si="113">ROUND(24.8/8,1)</f>
        <v>3.1</v>
      </c>
      <c r="AK83" s="432">
        <f t="shared" si="113"/>
        <v>3.1</v>
      </c>
      <c r="AL83" s="432">
        <f t="shared" si="113"/>
        <v>3.1</v>
      </c>
      <c r="AM83" s="432">
        <f t="shared" si="113"/>
        <v>3.1</v>
      </c>
      <c r="AN83" s="432">
        <f t="shared" si="113"/>
        <v>3.1</v>
      </c>
      <c r="AO83" s="432">
        <f t="shared" si="113"/>
        <v>3.1</v>
      </c>
      <c r="AP83" s="432">
        <f t="shared" si="113"/>
        <v>3.1</v>
      </c>
      <c r="AQ83" s="432">
        <f>ROUND(-1.9/5,1)</f>
        <v>-0.4</v>
      </c>
      <c r="AR83" s="432">
        <f t="shared" ref="AR83:AT83" si="114">ROUND(-1.9/5,1)</f>
        <v>-0.4</v>
      </c>
      <c r="AS83" s="432">
        <f t="shared" si="114"/>
        <v>-0.4</v>
      </c>
      <c r="AT83" s="432">
        <f t="shared" si="114"/>
        <v>-0.4</v>
      </c>
      <c r="AU83" s="432">
        <f>ROUND(-1.9/5,1)+0.1</f>
        <v>-0.30000000000000004</v>
      </c>
      <c r="AV83" s="122">
        <v>0.7</v>
      </c>
      <c r="AW83" s="432">
        <f>ROUND(2.8/3,1)</f>
        <v>0.9</v>
      </c>
      <c r="AX83" s="432">
        <f t="shared" ref="AX83" si="115">ROUND(2.8/3,1)</f>
        <v>0.9</v>
      </c>
      <c r="AY83" s="432">
        <f>ROUND(2.8/3,1)+0.1</f>
        <v>1</v>
      </c>
      <c r="AZ83" s="432">
        <f>ROUND(-2.3/2,1)</f>
        <v>-1.2</v>
      </c>
      <c r="BA83" s="432">
        <f>ROUND(-2.3/2,1)+0.1</f>
        <v>-1.0999999999999999</v>
      </c>
      <c r="BB83" s="432">
        <f>ROUND(1/3,1)</f>
        <v>0.3</v>
      </c>
      <c r="BC83" s="432">
        <f t="shared" ref="BC83" si="116">ROUND(1/3,1)</f>
        <v>0.3</v>
      </c>
      <c r="BD83" s="432">
        <f>ROUND(1/3,1)+0.1</f>
        <v>0.4</v>
      </c>
      <c r="BE83" s="141" t="s">
        <v>247</v>
      </c>
      <c r="BF83" s="431"/>
      <c r="BG83" s="368"/>
      <c r="BH83" s="333" t="e">
        <f ca="1">INDIRECT(ADDRESS(MATCH($B83,'【別紙1】標高（入力）'!$B:$B,0),'【別紙1】標高（入力）'!$N$2,4,TRUE,"【別紙1】標高（入力）"))</f>
        <v>#N/A</v>
      </c>
      <c r="BI83" s="340" t="e">
        <f ca="1">INDIRECT(ADDRESS(MATCH($B83,'【別紙1】標高（入力）'!$B:$B,0),'【別紙1】標高（入力）'!$O$2,4,TRUE,"【別紙1】標高（入力）"))</f>
        <v>#N/A</v>
      </c>
      <c r="BJ83" s="392"/>
    </row>
    <row r="84" spans="1:62" ht="15.95" customHeight="1">
      <c r="A84" s="119">
        <v>407</v>
      </c>
      <c r="B84" s="107" t="s">
        <v>468</v>
      </c>
      <c r="C84" s="114" t="s">
        <v>132</v>
      </c>
      <c r="D84" s="110" t="s">
        <v>716</v>
      </c>
      <c r="E84" s="109" t="s">
        <v>146</v>
      </c>
      <c r="F84" s="111" t="s">
        <v>9</v>
      </c>
      <c r="G84" s="112" t="s">
        <v>10</v>
      </c>
      <c r="H84" s="112" t="s">
        <v>541</v>
      </c>
      <c r="I84" s="112" t="s">
        <v>141</v>
      </c>
      <c r="J84" s="112" t="s">
        <v>547</v>
      </c>
      <c r="K84" s="224"/>
      <c r="L84" s="228"/>
      <c r="M84" s="221"/>
      <c r="N84" s="124">
        <v>-3.2</v>
      </c>
      <c r="O84" s="124">
        <v>-6.4</v>
      </c>
      <c r="P84" s="124">
        <v>15.6</v>
      </c>
      <c r="Q84" s="124">
        <v>2</v>
      </c>
      <c r="R84" s="123">
        <v>5.3</v>
      </c>
      <c r="S84" s="432">
        <f>ROUND(-1.9/2,1)</f>
        <v>-1</v>
      </c>
      <c r="T84" s="432">
        <f>ROUND(-1.9/2,1)+0.1</f>
        <v>-0.9</v>
      </c>
      <c r="U84" s="432">
        <f>ROUND(0/2,1)</f>
        <v>0</v>
      </c>
      <c r="V84" s="432">
        <f>ROUND(0/2,1)</f>
        <v>0</v>
      </c>
      <c r="W84" s="432">
        <f>ROUND(19.1/6,1)</f>
        <v>3.2</v>
      </c>
      <c r="X84" s="432">
        <f t="shared" ref="X84:AA84" si="117">ROUND(19.1/6,1)</f>
        <v>3.2</v>
      </c>
      <c r="Y84" s="432">
        <f t="shared" si="117"/>
        <v>3.2</v>
      </c>
      <c r="Z84" s="432">
        <f t="shared" si="117"/>
        <v>3.2</v>
      </c>
      <c r="AA84" s="432">
        <f t="shared" si="117"/>
        <v>3.2</v>
      </c>
      <c r="AB84" s="432">
        <f>ROUND(19.1/6,1)-0.1</f>
        <v>3.1</v>
      </c>
      <c r="AC84" s="432">
        <f>ROUND(0.2/3,1)</f>
        <v>0.1</v>
      </c>
      <c r="AD84" s="432">
        <f>ROUND(0.2/3,1)</f>
        <v>0.1</v>
      </c>
      <c r="AE84" s="432">
        <f>ROUND(0.2/3,1)-0.1</f>
        <v>0</v>
      </c>
      <c r="AF84" s="432">
        <f>ROUND(3.4/3,1)</f>
        <v>1.1000000000000001</v>
      </c>
      <c r="AG84" s="432">
        <f>ROUND(3.4/3,1)</f>
        <v>1.1000000000000001</v>
      </c>
      <c r="AH84" s="432">
        <f>ROUND(3.4/3,1)+0.1</f>
        <v>1.2000000000000002</v>
      </c>
      <c r="AI84" s="432">
        <f>ROUND(9.3/6,1)</f>
        <v>1.6</v>
      </c>
      <c r="AJ84" s="432">
        <f t="shared" ref="AJ84:AK84" si="118">ROUND(9.3/6,1)</f>
        <v>1.6</v>
      </c>
      <c r="AK84" s="432">
        <f t="shared" si="118"/>
        <v>1.6</v>
      </c>
      <c r="AL84" s="432">
        <f>ROUND(9.3/6,1)-0.1</f>
        <v>1.5</v>
      </c>
      <c r="AM84" s="432">
        <f>ROUND(9.3/6,1)-0.1</f>
        <v>1.5</v>
      </c>
      <c r="AN84" s="432">
        <f>ROUND(9.3/6,1)-0.1</f>
        <v>1.5</v>
      </c>
      <c r="AO84" s="432">
        <f>ROUND(15.1/2,1)</f>
        <v>7.6</v>
      </c>
      <c r="AP84" s="432">
        <f>ROUND(15.1/2,1)-0.1</f>
        <v>7.5</v>
      </c>
      <c r="AQ84" s="432">
        <f>ROUND(-3.8/4,1)</f>
        <v>-1</v>
      </c>
      <c r="AR84" s="432">
        <f t="shared" ref="AR84:AS84" si="119">ROUND(-3.8/4,1)</f>
        <v>-1</v>
      </c>
      <c r="AS84" s="432">
        <f t="shared" si="119"/>
        <v>-1</v>
      </c>
      <c r="AT84" s="432">
        <f>ROUND(-3.8/4,1)+0.2</f>
        <v>-0.8</v>
      </c>
      <c r="AU84" s="122">
        <v>0.2</v>
      </c>
      <c r="AV84" s="125">
        <v>2.5</v>
      </c>
      <c r="AW84" s="432">
        <f>ROUND(1.1/3,1)</f>
        <v>0.4</v>
      </c>
      <c r="AX84" s="432">
        <f t="shared" ref="AX84" si="120">ROUND(1.1/3,1)</f>
        <v>0.4</v>
      </c>
      <c r="AY84" s="432">
        <f>ROUND(1.1/3,1)-0.1</f>
        <v>0.30000000000000004</v>
      </c>
      <c r="AZ84" s="432">
        <f>ROUND(-1.9/2,1)</f>
        <v>-1</v>
      </c>
      <c r="BA84" s="432">
        <f>ROUND(-1.9/2,1)+0.1</f>
        <v>-0.9</v>
      </c>
      <c r="BB84" s="432">
        <f>ROUND(0.6/3,1)</f>
        <v>0.2</v>
      </c>
      <c r="BC84" s="432">
        <f t="shared" ref="BC84:BD84" si="121">ROUND(0.6/3,1)</f>
        <v>0.2</v>
      </c>
      <c r="BD84" s="432">
        <f t="shared" si="121"/>
        <v>0.2</v>
      </c>
      <c r="BE84" s="141" t="s">
        <v>247</v>
      </c>
      <c r="BF84" s="431"/>
      <c r="BG84" s="368"/>
      <c r="BH84" s="333" t="str">
        <f ca="1">INDIRECT(ADDRESS(MATCH($B84,'【別紙1】標高（入力）'!$B:$B,0),'【別紙1】標高（入力）'!$N$2,4,TRUE,"【別紙1】標高（入力）"))</f>
        <v>R2</v>
      </c>
      <c r="BI84" s="340">
        <f ca="1">INDIRECT(ADDRESS(MATCH($B84,'【別紙1】標高（入力）'!$B:$B,0),'【別紙1】標高（入力）'!$O$2,4,TRUE,"【別紙1】標高（入力）"))</f>
        <v>18.832699999999999</v>
      </c>
      <c r="BJ84" s="392"/>
    </row>
    <row r="85" spans="1:62" ht="15.95" customHeight="1">
      <c r="A85" s="119">
        <v>408</v>
      </c>
      <c r="B85" s="107" t="s">
        <v>469</v>
      </c>
      <c r="C85" s="114" t="s">
        <v>132</v>
      </c>
      <c r="D85" s="110" t="s">
        <v>645</v>
      </c>
      <c r="E85" s="109" t="s">
        <v>147</v>
      </c>
      <c r="F85" s="111" t="s">
        <v>9</v>
      </c>
      <c r="G85" s="112" t="s">
        <v>10</v>
      </c>
      <c r="H85" s="112" t="s">
        <v>541</v>
      </c>
      <c r="I85" s="112" t="s">
        <v>141</v>
      </c>
      <c r="J85" s="112" t="s">
        <v>547</v>
      </c>
      <c r="K85" s="224"/>
      <c r="L85" s="228"/>
      <c r="M85" s="228"/>
      <c r="N85" s="432">
        <f>ROUND(-8.7/2,1)</f>
        <v>-4.4000000000000004</v>
      </c>
      <c r="O85" s="432">
        <f>ROUND(-8.7/2,1)+0.1</f>
        <v>-4.3000000000000007</v>
      </c>
      <c r="P85" s="127">
        <v>14.3</v>
      </c>
      <c r="Q85" s="124">
        <v>4.4000000000000004</v>
      </c>
      <c r="R85" s="123">
        <v>7.1</v>
      </c>
      <c r="S85" s="432">
        <f>ROUND(-2.3/2,1)</f>
        <v>-1.2</v>
      </c>
      <c r="T85" s="432">
        <f>ROUND(-2.3/2,1)+0.1</f>
        <v>-1.0999999999999999</v>
      </c>
      <c r="U85" s="432">
        <f>ROUND(-2.5/2,1)</f>
        <v>-1.3</v>
      </c>
      <c r="V85" s="432">
        <f>ROUND(-2.5/2,1)+0.1</f>
        <v>-1.2</v>
      </c>
      <c r="W85" s="432">
        <f>ROUND(21/6,1)</f>
        <v>3.5</v>
      </c>
      <c r="X85" s="432">
        <f t="shared" ref="X85:AB85" si="122">ROUND(21/6,1)</f>
        <v>3.5</v>
      </c>
      <c r="Y85" s="432">
        <f t="shared" si="122"/>
        <v>3.5</v>
      </c>
      <c r="Z85" s="432">
        <f t="shared" si="122"/>
        <v>3.5</v>
      </c>
      <c r="AA85" s="432">
        <f t="shared" si="122"/>
        <v>3.5</v>
      </c>
      <c r="AB85" s="432">
        <f t="shared" si="122"/>
        <v>3.5</v>
      </c>
      <c r="AC85" s="432">
        <f>ROUND(0.6/3,1)</f>
        <v>0.2</v>
      </c>
      <c r="AD85" s="432">
        <f>ROUND(0.6/3,1)</f>
        <v>0.2</v>
      </c>
      <c r="AE85" s="432">
        <f>ROUND(0.6/3,1)</f>
        <v>0.2</v>
      </c>
      <c r="AF85" s="432">
        <f>ROUND(2/3,1)</f>
        <v>0.7</v>
      </c>
      <c r="AG85" s="432">
        <f>ROUND(2/3,1)</f>
        <v>0.7</v>
      </c>
      <c r="AH85" s="432">
        <f>ROUND(2/3,1)-0.1</f>
        <v>0.6</v>
      </c>
      <c r="AI85" s="432">
        <f>ROUND(24.2/8,1)</f>
        <v>3</v>
      </c>
      <c r="AJ85" s="432">
        <f t="shared" ref="AJ85:AN85" si="123">ROUND(24.2/8,1)</f>
        <v>3</v>
      </c>
      <c r="AK85" s="432">
        <f t="shared" si="123"/>
        <v>3</v>
      </c>
      <c r="AL85" s="432">
        <f t="shared" si="123"/>
        <v>3</v>
      </c>
      <c r="AM85" s="432">
        <f t="shared" si="123"/>
        <v>3</v>
      </c>
      <c r="AN85" s="432">
        <f t="shared" si="123"/>
        <v>3</v>
      </c>
      <c r="AO85" s="432">
        <f>ROUND(24.2/8,1)+0.1</f>
        <v>3.1</v>
      </c>
      <c r="AP85" s="432">
        <f>ROUND(24.2/8,1)+0.1</f>
        <v>3.1</v>
      </c>
      <c r="AQ85" s="432">
        <f>ROUND(-3/5,1)</f>
        <v>-0.6</v>
      </c>
      <c r="AR85" s="432">
        <f t="shared" ref="AR85:AU85" si="124">ROUND(-3/5,1)</f>
        <v>-0.6</v>
      </c>
      <c r="AS85" s="432">
        <f t="shared" si="124"/>
        <v>-0.6</v>
      </c>
      <c r="AT85" s="432">
        <f t="shared" si="124"/>
        <v>-0.6</v>
      </c>
      <c r="AU85" s="432">
        <f t="shared" si="124"/>
        <v>-0.6</v>
      </c>
      <c r="AV85" s="122">
        <v>1.2</v>
      </c>
      <c r="AW85" s="432">
        <f>ROUND(2.2/3,1)</f>
        <v>0.7</v>
      </c>
      <c r="AX85" s="432">
        <f t="shared" ref="AX85" si="125">ROUND(2.2/3,1)</f>
        <v>0.7</v>
      </c>
      <c r="AY85" s="432">
        <f>ROUND(2.2/3,1)+0.1</f>
        <v>0.79999999999999993</v>
      </c>
      <c r="AZ85" s="432">
        <f>ROUND(-2.3/2,1)</f>
        <v>-1.2</v>
      </c>
      <c r="BA85" s="432">
        <f>ROUND(-2.3/2,1)+0.1</f>
        <v>-1.0999999999999999</v>
      </c>
      <c r="BB85" s="432">
        <f>ROUND(0.5/3,1)</f>
        <v>0.2</v>
      </c>
      <c r="BC85" s="432">
        <f t="shared" ref="BC85" si="126">ROUND(0.5/3,1)</f>
        <v>0.2</v>
      </c>
      <c r="BD85" s="432">
        <f>ROUND(0.5/3,1)-0.1</f>
        <v>0.1</v>
      </c>
      <c r="BE85" s="141" t="s">
        <v>247</v>
      </c>
      <c r="BF85" s="431"/>
      <c r="BG85" s="368"/>
      <c r="BH85" s="333" t="str">
        <f ca="1">INDIRECT(ADDRESS(MATCH($B85,'【別紙1】標高（入力）'!$B:$B,0),'【別紙1】標高（入力）'!$N$2,4,TRUE,"【別紙1】標高（入力）"))</f>
        <v>R2</v>
      </c>
      <c r="BI85" s="340">
        <f ca="1">INDIRECT(ADDRESS(MATCH($B85,'【別紙1】標高（入力）'!$B:$B,0),'【別紙1】標高（入力）'!$O$2,4,TRUE,"【別紙1】標高（入力）"))</f>
        <v>18.146799999999999</v>
      </c>
      <c r="BJ85" s="392"/>
    </row>
    <row r="86" spans="1:62" s="231" customFormat="1" ht="15.75" customHeight="1">
      <c r="A86" s="214">
        <v>410</v>
      </c>
      <c r="B86" s="215" t="s">
        <v>470</v>
      </c>
      <c r="C86" s="216" t="s">
        <v>132</v>
      </c>
      <c r="D86" s="217" t="s">
        <v>335</v>
      </c>
      <c r="E86" s="218" t="s">
        <v>299</v>
      </c>
      <c r="F86" s="219" t="s">
        <v>9</v>
      </c>
      <c r="G86" s="220" t="s">
        <v>31</v>
      </c>
      <c r="H86" s="220" t="s">
        <v>64</v>
      </c>
      <c r="I86" s="220" t="s">
        <v>54</v>
      </c>
      <c r="J86" s="220" t="s">
        <v>270</v>
      </c>
      <c r="K86" s="224"/>
      <c r="L86" s="228"/>
      <c r="M86" s="228"/>
      <c r="N86" s="228"/>
      <c r="O86" s="228"/>
      <c r="P86" s="221"/>
      <c r="Q86" s="124">
        <v>13.3</v>
      </c>
      <c r="R86" s="124">
        <v>7.6</v>
      </c>
      <c r="S86" s="123">
        <v>-5.5</v>
      </c>
      <c r="T86" s="415" t="s">
        <v>1270</v>
      </c>
      <c r="U86" s="413" t="s">
        <v>1270</v>
      </c>
      <c r="V86" s="411" t="s">
        <v>1270</v>
      </c>
      <c r="W86" s="232" t="s">
        <v>20</v>
      </c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32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30"/>
      <c r="BF86" s="387"/>
      <c r="BG86" s="386"/>
      <c r="BH86" s="336" t="s">
        <v>529</v>
      </c>
      <c r="BI86" s="344" t="s">
        <v>1189</v>
      </c>
      <c r="BJ86" s="393" t="s">
        <v>725</v>
      </c>
    </row>
    <row r="87" spans="1:62" ht="15.95" customHeight="1">
      <c r="A87" s="119">
        <v>411</v>
      </c>
      <c r="B87" s="107" t="s">
        <v>472</v>
      </c>
      <c r="C87" s="114" t="s">
        <v>132</v>
      </c>
      <c r="D87" s="110" t="s">
        <v>336</v>
      </c>
      <c r="E87" s="109" t="s">
        <v>148</v>
      </c>
      <c r="F87" s="111" t="s">
        <v>9</v>
      </c>
      <c r="G87" s="112" t="s">
        <v>10</v>
      </c>
      <c r="H87" s="112" t="s">
        <v>64</v>
      </c>
      <c r="I87" s="112" t="s">
        <v>54</v>
      </c>
      <c r="J87" s="112" t="s">
        <v>270</v>
      </c>
      <c r="K87" s="224"/>
      <c r="L87" s="228"/>
      <c r="M87" s="228"/>
      <c r="N87" s="432">
        <f>ROUND(218.7/2,1)</f>
        <v>109.4</v>
      </c>
      <c r="O87" s="432">
        <f>ROUND(218.7/2,1)-0.1</f>
        <v>109.30000000000001</v>
      </c>
      <c r="P87" s="127">
        <v>101</v>
      </c>
      <c r="Q87" s="124">
        <v>38.4</v>
      </c>
      <c r="R87" s="124">
        <v>11.1</v>
      </c>
      <c r="S87" s="124">
        <v>10.8</v>
      </c>
      <c r="T87" s="124">
        <v>47.7</v>
      </c>
      <c r="U87" s="123">
        <v>22.1</v>
      </c>
      <c r="V87" s="227" t="s">
        <v>47</v>
      </c>
      <c r="W87" s="432">
        <f>ROUND(223/12,1)</f>
        <v>18.600000000000001</v>
      </c>
      <c r="X87" s="432">
        <f t="shared" ref="X87:AF87" si="127">ROUND(223/12,1)</f>
        <v>18.600000000000001</v>
      </c>
      <c r="Y87" s="432">
        <f t="shared" si="127"/>
        <v>18.600000000000001</v>
      </c>
      <c r="Z87" s="432">
        <f t="shared" si="127"/>
        <v>18.600000000000001</v>
      </c>
      <c r="AA87" s="432">
        <f t="shared" si="127"/>
        <v>18.600000000000001</v>
      </c>
      <c r="AB87" s="432">
        <f t="shared" si="127"/>
        <v>18.600000000000001</v>
      </c>
      <c r="AC87" s="432">
        <f t="shared" si="127"/>
        <v>18.600000000000001</v>
      </c>
      <c r="AD87" s="432">
        <f t="shared" si="127"/>
        <v>18.600000000000001</v>
      </c>
      <c r="AE87" s="432">
        <f t="shared" si="127"/>
        <v>18.600000000000001</v>
      </c>
      <c r="AF87" s="432">
        <f t="shared" si="127"/>
        <v>18.600000000000001</v>
      </c>
      <c r="AG87" s="432">
        <f>ROUND(223/12,1)-0.1</f>
        <v>18.5</v>
      </c>
      <c r="AH87" s="432">
        <f>ROUND(223/12,1)-0.1</f>
        <v>18.5</v>
      </c>
      <c r="AI87" s="432">
        <f>ROUND(41.9/6,1)</f>
        <v>7</v>
      </c>
      <c r="AJ87" s="432">
        <f t="shared" ref="AJ87:AM87" si="128">ROUND(41.9/6,1)</f>
        <v>7</v>
      </c>
      <c r="AK87" s="432">
        <f t="shared" si="128"/>
        <v>7</v>
      </c>
      <c r="AL87" s="432">
        <f t="shared" si="128"/>
        <v>7</v>
      </c>
      <c r="AM87" s="432">
        <f t="shared" si="128"/>
        <v>7</v>
      </c>
      <c r="AN87" s="432">
        <f>ROUND(41.9/6,1)-0.1</f>
        <v>6.9</v>
      </c>
      <c r="AO87" s="432">
        <f>ROUND(118.9/6,1)</f>
        <v>19.8</v>
      </c>
      <c r="AP87" s="432">
        <f t="shared" ref="AP87:AS87" si="129">ROUND(118.9/6,1)</f>
        <v>19.8</v>
      </c>
      <c r="AQ87" s="432">
        <f t="shared" si="129"/>
        <v>19.8</v>
      </c>
      <c r="AR87" s="432">
        <f t="shared" si="129"/>
        <v>19.8</v>
      </c>
      <c r="AS87" s="432">
        <f t="shared" si="129"/>
        <v>19.8</v>
      </c>
      <c r="AT87" s="432">
        <f>ROUND(118.9/6,1)+0.1</f>
        <v>19.900000000000002</v>
      </c>
      <c r="AU87" s="122">
        <v>-2</v>
      </c>
      <c r="AV87" s="432">
        <f>ROUND(22.6/4,1)</f>
        <v>5.7</v>
      </c>
      <c r="AW87" s="432">
        <f t="shared" ref="AW87:AX87" si="130">ROUND(22.6/4,1)</f>
        <v>5.7</v>
      </c>
      <c r="AX87" s="432">
        <f t="shared" si="130"/>
        <v>5.7</v>
      </c>
      <c r="AY87" s="432">
        <f>ROUND(22.6/4,1)-0.2</f>
        <v>5.5</v>
      </c>
      <c r="AZ87" s="432">
        <f>ROUND(17.9/5,1)</f>
        <v>3.6</v>
      </c>
      <c r="BA87" s="432">
        <f t="shared" ref="BA87:BC87" si="131">ROUND(17.9/5,1)</f>
        <v>3.6</v>
      </c>
      <c r="BB87" s="432">
        <f t="shared" si="131"/>
        <v>3.6</v>
      </c>
      <c r="BC87" s="432">
        <f t="shared" si="131"/>
        <v>3.6</v>
      </c>
      <c r="BD87" s="432">
        <f>ROUND(17.9/5,1)-0.1</f>
        <v>3.5</v>
      </c>
      <c r="BE87" s="141" t="s">
        <v>247</v>
      </c>
      <c r="BF87" s="431"/>
      <c r="BG87" s="368"/>
      <c r="BH87" s="333" t="str">
        <f ca="1">INDIRECT(ADDRESS(MATCH($B87,'【別紙1】標高（入力）'!$B:$B,0),'【別紙1】標高（入力）'!$N$2,4,TRUE,"【別紙1】標高（入力）"))</f>
        <v>R4</v>
      </c>
      <c r="BI87" s="340">
        <f ca="1">INDIRECT(ADDRESS(MATCH($B87,'【別紙1】標高（入力）'!$B:$B,0),'【別紙1】標高（入力）'!$O$2,4,TRUE,"【別紙1】標高（入力）"))</f>
        <v>3.2930999999999999</v>
      </c>
      <c r="BJ87" s="392"/>
    </row>
    <row r="88" spans="1:62" ht="15.95" customHeight="1">
      <c r="A88" s="119">
        <v>412</v>
      </c>
      <c r="B88" s="107" t="s">
        <v>474</v>
      </c>
      <c r="C88" s="114" t="s">
        <v>132</v>
      </c>
      <c r="D88" s="110" t="s">
        <v>670</v>
      </c>
      <c r="E88" s="109" t="s">
        <v>280</v>
      </c>
      <c r="F88" s="111" t="s">
        <v>9</v>
      </c>
      <c r="G88" s="112" t="s">
        <v>255</v>
      </c>
      <c r="H88" s="112" t="s">
        <v>542</v>
      </c>
      <c r="I88" s="112" t="s">
        <v>54</v>
      </c>
      <c r="J88" s="112" t="s">
        <v>270</v>
      </c>
      <c r="K88" s="224"/>
      <c r="L88" s="228"/>
      <c r="M88" s="228"/>
      <c r="N88" s="432">
        <f>ROUND(53.9/2,1)</f>
        <v>27</v>
      </c>
      <c r="O88" s="432">
        <f>ROUND(53.9/2,1)-0.1</f>
        <v>26.9</v>
      </c>
      <c r="P88" s="127">
        <v>41.4</v>
      </c>
      <c r="Q88" s="124">
        <v>22.4</v>
      </c>
      <c r="R88" s="124">
        <v>10.199999999999999</v>
      </c>
      <c r="S88" s="123">
        <v>7.1</v>
      </c>
      <c r="T88" s="415" t="s">
        <v>1270</v>
      </c>
      <c r="U88" s="413" t="s">
        <v>1270</v>
      </c>
      <c r="V88" s="122">
        <v>54.5</v>
      </c>
      <c r="W88" s="432">
        <f>ROUND(135.1/6,1)</f>
        <v>22.5</v>
      </c>
      <c r="X88" s="432">
        <f t="shared" ref="X88:AA88" si="132">ROUND(135.1/6,1)</f>
        <v>22.5</v>
      </c>
      <c r="Y88" s="432">
        <f t="shared" si="132"/>
        <v>22.5</v>
      </c>
      <c r="Z88" s="432">
        <f t="shared" si="132"/>
        <v>22.5</v>
      </c>
      <c r="AA88" s="432">
        <f t="shared" si="132"/>
        <v>22.5</v>
      </c>
      <c r="AB88" s="432">
        <f>ROUND(135.1/6,1)+0.1</f>
        <v>22.6</v>
      </c>
      <c r="AC88" s="432">
        <f>ROUND(50.2/3,1)</f>
        <v>16.7</v>
      </c>
      <c r="AD88" s="432">
        <f>ROUND(50.2/3,1)</f>
        <v>16.7</v>
      </c>
      <c r="AE88" s="432">
        <f>ROUND(50.2/3,1)+0.1</f>
        <v>16.8</v>
      </c>
      <c r="AF88" s="228"/>
      <c r="AG88" s="228"/>
      <c r="AH88" s="229"/>
      <c r="AI88" s="138" t="s">
        <v>260</v>
      </c>
      <c r="AJ88" s="229"/>
      <c r="AK88" s="139" t="s">
        <v>530</v>
      </c>
      <c r="AL88" s="432">
        <f>ROUND(75.4/3,1)</f>
        <v>25.1</v>
      </c>
      <c r="AM88" s="432">
        <f t="shared" ref="AM88" si="133">ROUND(75.4/3,1)</f>
        <v>25.1</v>
      </c>
      <c r="AN88" s="432">
        <f>ROUND(75.4/3,1)+0.1</f>
        <v>25.200000000000003</v>
      </c>
      <c r="AO88" s="432">
        <f>ROUND(116.5/6,1)</f>
        <v>19.399999999999999</v>
      </c>
      <c r="AP88" s="432">
        <f t="shared" ref="AP88:AS88" si="134">ROUND(116.5/6,1)</f>
        <v>19.399999999999999</v>
      </c>
      <c r="AQ88" s="432">
        <f t="shared" si="134"/>
        <v>19.399999999999999</v>
      </c>
      <c r="AR88" s="432">
        <f t="shared" si="134"/>
        <v>19.399999999999999</v>
      </c>
      <c r="AS88" s="432">
        <f t="shared" si="134"/>
        <v>19.399999999999999</v>
      </c>
      <c r="AT88" s="432">
        <f>ROUND(116.5/6,1)+0.1</f>
        <v>19.5</v>
      </c>
      <c r="AU88" s="432">
        <f>ROUND(26.5/5,1)</f>
        <v>5.3</v>
      </c>
      <c r="AV88" s="432">
        <f t="shared" ref="AV88:AY88" si="135">ROUND(26.5/5,1)</f>
        <v>5.3</v>
      </c>
      <c r="AW88" s="432">
        <f t="shared" si="135"/>
        <v>5.3</v>
      </c>
      <c r="AX88" s="432">
        <f t="shared" si="135"/>
        <v>5.3</v>
      </c>
      <c r="AY88" s="432">
        <f t="shared" si="135"/>
        <v>5.3</v>
      </c>
      <c r="AZ88" s="432">
        <f>ROUND(21.6/5,1)</f>
        <v>4.3</v>
      </c>
      <c r="BA88" s="432">
        <f t="shared" ref="BA88:BC88" si="136">ROUND(21.6/5,1)</f>
        <v>4.3</v>
      </c>
      <c r="BB88" s="432">
        <f t="shared" si="136"/>
        <v>4.3</v>
      </c>
      <c r="BC88" s="432">
        <f t="shared" si="136"/>
        <v>4.3</v>
      </c>
      <c r="BD88" s="432">
        <f>ROUND(21.6/5,1)+0.1</f>
        <v>4.3999999999999995</v>
      </c>
      <c r="BE88" s="141" t="s">
        <v>247</v>
      </c>
      <c r="BF88" s="431"/>
      <c r="BG88" s="368"/>
      <c r="BH88" s="333" t="str">
        <f ca="1">INDIRECT(ADDRESS(MATCH($B88,'【別紙1】標高（入力）'!$B:$B,0),'【別紙1】標高（入力）'!$N$2,4,TRUE,"【別紙1】標高（入力）"))</f>
        <v>H30</v>
      </c>
      <c r="BI88" s="340">
        <f ca="1">INDIRECT(ADDRESS(MATCH($B88,'【別紙1】標高（入力）'!$B:$B,0),'【別紙1】標高（入力）'!$O$2,4,TRUE,"【別紙1】標高（入力）"))</f>
        <v>5.2348999999999997</v>
      </c>
      <c r="BJ88" s="392" t="s">
        <v>1132</v>
      </c>
    </row>
    <row r="89" spans="1:62" ht="15.95" customHeight="1">
      <c r="A89" s="119">
        <v>413</v>
      </c>
      <c r="B89" s="107" t="s">
        <v>476</v>
      </c>
      <c r="C89" s="114" t="s">
        <v>132</v>
      </c>
      <c r="D89" s="110" t="s">
        <v>337</v>
      </c>
      <c r="E89" s="109" t="s">
        <v>299</v>
      </c>
      <c r="F89" s="111" t="s">
        <v>9</v>
      </c>
      <c r="G89" s="112" t="s">
        <v>31</v>
      </c>
      <c r="H89" s="112" t="s">
        <v>64</v>
      </c>
      <c r="I89" s="112" t="s">
        <v>54</v>
      </c>
      <c r="J89" s="112" t="s">
        <v>270</v>
      </c>
      <c r="K89" s="224"/>
      <c r="L89" s="228"/>
      <c r="M89" s="228"/>
      <c r="N89" s="228"/>
      <c r="O89" s="228"/>
      <c r="P89" s="221"/>
      <c r="Q89" s="124">
        <v>85.6</v>
      </c>
      <c r="R89" s="123">
        <v>20.8</v>
      </c>
      <c r="S89" s="411" t="s">
        <v>47</v>
      </c>
      <c r="T89" s="127">
        <v>36.9</v>
      </c>
      <c r="U89" s="124">
        <v>19.899999999999999</v>
      </c>
      <c r="V89" s="123">
        <v>21.6</v>
      </c>
      <c r="W89" s="432">
        <f>ROUND(369.5/12,1)</f>
        <v>30.8</v>
      </c>
      <c r="X89" s="432">
        <f t="shared" ref="X89:AG89" si="137">ROUND(369.5/12,1)</f>
        <v>30.8</v>
      </c>
      <c r="Y89" s="432">
        <f t="shared" si="137"/>
        <v>30.8</v>
      </c>
      <c r="Z89" s="432">
        <f t="shared" si="137"/>
        <v>30.8</v>
      </c>
      <c r="AA89" s="432">
        <f t="shared" si="137"/>
        <v>30.8</v>
      </c>
      <c r="AB89" s="432">
        <f t="shared" si="137"/>
        <v>30.8</v>
      </c>
      <c r="AC89" s="432">
        <f t="shared" si="137"/>
        <v>30.8</v>
      </c>
      <c r="AD89" s="432">
        <f t="shared" si="137"/>
        <v>30.8</v>
      </c>
      <c r="AE89" s="432">
        <f t="shared" si="137"/>
        <v>30.8</v>
      </c>
      <c r="AF89" s="432">
        <f t="shared" si="137"/>
        <v>30.8</v>
      </c>
      <c r="AG89" s="432">
        <f t="shared" si="137"/>
        <v>30.8</v>
      </c>
      <c r="AH89" s="432">
        <f>ROUND(369.5/12,1)-0.1</f>
        <v>30.7</v>
      </c>
      <c r="AI89" s="432">
        <f>ROUND(58.2/3,1)</f>
        <v>19.399999999999999</v>
      </c>
      <c r="AJ89" s="432">
        <f t="shared" ref="AJ89:AK89" si="138">ROUND(58.2/3,1)</f>
        <v>19.399999999999999</v>
      </c>
      <c r="AK89" s="432">
        <f t="shared" si="138"/>
        <v>19.399999999999999</v>
      </c>
      <c r="AL89" s="432">
        <f>ROUND(43.1/3,1)</f>
        <v>14.4</v>
      </c>
      <c r="AM89" s="432">
        <f t="shared" ref="AM89" si="139">ROUND(43.1/3,1)</f>
        <v>14.4</v>
      </c>
      <c r="AN89" s="432">
        <f>ROUND(43.1/3,1)-0.1</f>
        <v>14.3</v>
      </c>
      <c r="AO89" s="432">
        <f>ROUND(81.9/6,1)</f>
        <v>13.7</v>
      </c>
      <c r="AP89" s="432">
        <f t="shared" ref="AP89:AS89" si="140">ROUND(81.9/6,1)</f>
        <v>13.7</v>
      </c>
      <c r="AQ89" s="432">
        <f t="shared" si="140"/>
        <v>13.7</v>
      </c>
      <c r="AR89" s="432">
        <f t="shared" si="140"/>
        <v>13.7</v>
      </c>
      <c r="AS89" s="432">
        <f t="shared" si="140"/>
        <v>13.7</v>
      </c>
      <c r="AT89" s="432">
        <f>ROUND(81.9/6,1)-0.3</f>
        <v>13.399999999999999</v>
      </c>
      <c r="AU89" s="432">
        <f>ROUND(31.5/5,1)</f>
        <v>6.3</v>
      </c>
      <c r="AV89" s="432">
        <f t="shared" ref="AV89:AY89" si="141">ROUND(31.5/5,1)</f>
        <v>6.3</v>
      </c>
      <c r="AW89" s="432">
        <f t="shared" si="141"/>
        <v>6.3</v>
      </c>
      <c r="AX89" s="432">
        <f t="shared" si="141"/>
        <v>6.3</v>
      </c>
      <c r="AY89" s="432">
        <f t="shared" si="141"/>
        <v>6.3</v>
      </c>
      <c r="AZ89" s="432">
        <f>ROUND(29.1/5,1)</f>
        <v>5.8</v>
      </c>
      <c r="BA89" s="432">
        <f t="shared" ref="BA89:BC89" si="142">ROUND(29.1/5,1)</f>
        <v>5.8</v>
      </c>
      <c r="BB89" s="432">
        <f t="shared" si="142"/>
        <v>5.8</v>
      </c>
      <c r="BC89" s="432">
        <f t="shared" si="142"/>
        <v>5.8</v>
      </c>
      <c r="BD89" s="432">
        <f>ROUND(29.1/5,1)+0.1</f>
        <v>5.8999999999999995</v>
      </c>
      <c r="BE89" s="141" t="s">
        <v>247</v>
      </c>
      <c r="BF89" s="431"/>
      <c r="BG89" s="368"/>
      <c r="BH89" s="333" t="str">
        <f ca="1">INDIRECT(ADDRESS(MATCH($B89,'【別紙1】標高（入力）'!$B:$B,0),'【別紙1】標高（入力）'!$N$2,4,TRUE,"【別紙1】標高（入力）"))</f>
        <v>H30</v>
      </c>
      <c r="BI89" s="340">
        <f ca="1">INDIRECT(ADDRESS(MATCH($B89,'【別紙1】標高（入力）'!$B:$B,0),'【別紙1】標高（入力）'!$O$2,4,TRUE,"【別紙1】標高（入力）"))</f>
        <v>4.5007000000000001</v>
      </c>
      <c r="BJ89" s="392"/>
    </row>
    <row r="90" spans="1:62" ht="15.95" customHeight="1">
      <c r="A90" s="119">
        <v>414</v>
      </c>
      <c r="B90" s="107" t="s">
        <v>478</v>
      </c>
      <c r="C90" s="114" t="s">
        <v>132</v>
      </c>
      <c r="D90" s="110" t="s">
        <v>338</v>
      </c>
      <c r="E90" s="109" t="s">
        <v>150</v>
      </c>
      <c r="F90" s="111" t="s">
        <v>9</v>
      </c>
      <c r="G90" s="112" t="s">
        <v>31</v>
      </c>
      <c r="H90" s="112" t="s">
        <v>64</v>
      </c>
      <c r="I90" s="112" t="s">
        <v>54</v>
      </c>
      <c r="J90" s="112" t="s">
        <v>270</v>
      </c>
      <c r="K90" s="224"/>
      <c r="L90" s="228"/>
      <c r="M90" s="228"/>
      <c r="N90" s="228"/>
      <c r="O90" s="228"/>
      <c r="P90" s="221"/>
      <c r="Q90" s="124">
        <v>33.799999999999997</v>
      </c>
      <c r="R90" s="124">
        <v>32.1</v>
      </c>
      <c r="S90" s="124">
        <v>23.9</v>
      </c>
      <c r="T90" s="124">
        <v>40.4</v>
      </c>
      <c r="U90" s="124">
        <v>16.399999999999999</v>
      </c>
      <c r="V90" s="123">
        <v>21.4</v>
      </c>
      <c r="W90" s="432">
        <f>ROUND(128.4/6,1)</f>
        <v>21.4</v>
      </c>
      <c r="X90" s="432">
        <f t="shared" ref="X90:AB90" si="143">ROUND(128.4/6,1)</f>
        <v>21.4</v>
      </c>
      <c r="Y90" s="432">
        <f t="shared" si="143"/>
        <v>21.4</v>
      </c>
      <c r="Z90" s="432">
        <f t="shared" si="143"/>
        <v>21.4</v>
      </c>
      <c r="AA90" s="432">
        <f t="shared" si="143"/>
        <v>21.4</v>
      </c>
      <c r="AB90" s="432">
        <f t="shared" si="143"/>
        <v>21.4</v>
      </c>
      <c r="AC90" s="232"/>
      <c r="AD90" s="228"/>
      <c r="AE90" s="411" t="s">
        <v>47</v>
      </c>
      <c r="AF90" s="232"/>
      <c r="AG90" s="228"/>
      <c r="AH90" s="227" t="s">
        <v>47</v>
      </c>
      <c r="AI90" s="432">
        <f>ROUND(43/3,1)</f>
        <v>14.3</v>
      </c>
      <c r="AJ90" s="432">
        <f>ROUND(43/3,1)</f>
        <v>14.3</v>
      </c>
      <c r="AK90" s="432">
        <f>ROUND(43/3,1)+0.1</f>
        <v>14.4</v>
      </c>
      <c r="AL90" s="432">
        <f>ROUND(26.3/3,1)</f>
        <v>8.8000000000000007</v>
      </c>
      <c r="AM90" s="432">
        <f t="shared" ref="AM90" si="144">ROUND(26.3/3,1)</f>
        <v>8.8000000000000007</v>
      </c>
      <c r="AN90" s="432">
        <f>ROUND(26.3/3,1)-0.1</f>
        <v>8.7000000000000011</v>
      </c>
      <c r="AO90" s="432">
        <f>ROUND(85.5/6,1)</f>
        <v>14.3</v>
      </c>
      <c r="AP90" s="432">
        <f t="shared" ref="AP90:AS90" si="145">ROUND(85.5/6,1)</f>
        <v>14.3</v>
      </c>
      <c r="AQ90" s="432">
        <f t="shared" si="145"/>
        <v>14.3</v>
      </c>
      <c r="AR90" s="432">
        <f t="shared" si="145"/>
        <v>14.3</v>
      </c>
      <c r="AS90" s="432">
        <f t="shared" si="145"/>
        <v>14.3</v>
      </c>
      <c r="AT90" s="432">
        <f>ROUND(85.5/6,1)-0.3</f>
        <v>14</v>
      </c>
      <c r="AU90" s="432">
        <f>ROUND(26.3/5,1)</f>
        <v>5.3</v>
      </c>
      <c r="AV90" s="432">
        <f t="shared" ref="AV90:AX90" si="146">ROUND(26.3/5,1)</f>
        <v>5.3</v>
      </c>
      <c r="AW90" s="432">
        <f t="shared" si="146"/>
        <v>5.3</v>
      </c>
      <c r="AX90" s="432">
        <f t="shared" si="146"/>
        <v>5.3</v>
      </c>
      <c r="AY90" s="432">
        <f>ROUND(26.3/5,1)-0.2</f>
        <v>5.0999999999999996</v>
      </c>
      <c r="AZ90" s="432">
        <f>ROUND(8.3/2,1)</f>
        <v>4.2</v>
      </c>
      <c r="BA90" s="432">
        <f>ROUND(8.3/2,1)-0.1</f>
        <v>4.1000000000000005</v>
      </c>
      <c r="BB90" s="432">
        <f>ROUND(10.2/3,1)</f>
        <v>3.4</v>
      </c>
      <c r="BC90" s="432">
        <f t="shared" ref="BC90:BD90" si="147">ROUND(10.2/3,1)</f>
        <v>3.4</v>
      </c>
      <c r="BD90" s="432">
        <f t="shared" si="147"/>
        <v>3.4</v>
      </c>
      <c r="BE90" s="141" t="s">
        <v>247</v>
      </c>
      <c r="BF90" s="431"/>
      <c r="BG90" s="368"/>
      <c r="BH90" s="333" t="str">
        <f ca="1">INDIRECT(ADDRESS(MATCH($B90,'【別紙1】標高（入力）'!$B:$B,0),'【別紙1】標高（入力）'!$N$2,4,TRUE,"【別紙1】標高（入力）"))</f>
        <v>R2</v>
      </c>
      <c r="BI90" s="340">
        <f ca="1">INDIRECT(ADDRESS(MATCH($B90,'【別紙1】標高（入力）'!$B:$B,0),'【別紙1】標高（入力）'!$O$2,4,TRUE,"【別紙1】標高（入力）"))</f>
        <v>6.7087000000000003</v>
      </c>
      <c r="BJ90" s="392"/>
    </row>
    <row r="91" spans="1:62" ht="15.95" customHeight="1">
      <c r="A91" s="119">
        <v>415</v>
      </c>
      <c r="B91" s="107" t="s">
        <v>479</v>
      </c>
      <c r="C91" s="114" t="s">
        <v>132</v>
      </c>
      <c r="D91" s="110" t="s">
        <v>339</v>
      </c>
      <c r="E91" s="109" t="s">
        <v>299</v>
      </c>
      <c r="F91" s="111" t="s">
        <v>9</v>
      </c>
      <c r="G91" s="112" t="s">
        <v>10</v>
      </c>
      <c r="H91" s="112" t="s">
        <v>64</v>
      </c>
      <c r="I91" s="112" t="s">
        <v>54</v>
      </c>
      <c r="J91" s="112" t="s">
        <v>270</v>
      </c>
      <c r="K91" s="224"/>
      <c r="L91" s="228"/>
      <c r="M91" s="228"/>
      <c r="N91" s="432">
        <f>ROUND(39.2/2,1)</f>
        <v>19.600000000000001</v>
      </c>
      <c r="O91" s="432">
        <f>ROUND(39.2/2,1)</f>
        <v>19.600000000000001</v>
      </c>
      <c r="P91" s="127">
        <v>50.8</v>
      </c>
      <c r="Q91" s="124">
        <v>9.3000000000000007</v>
      </c>
      <c r="R91" s="124">
        <v>-2</v>
      </c>
      <c r="S91" s="124">
        <v>14.6</v>
      </c>
      <c r="T91" s="124">
        <v>26.4</v>
      </c>
      <c r="U91" s="124">
        <v>18.3</v>
      </c>
      <c r="V91" s="123">
        <v>51.4</v>
      </c>
      <c r="W91" s="432">
        <f>ROUND(54/6,1)</f>
        <v>9</v>
      </c>
      <c r="X91" s="432">
        <f t="shared" ref="X91:AB91" si="148">ROUND(54/6,1)</f>
        <v>9</v>
      </c>
      <c r="Y91" s="432">
        <f t="shared" si="148"/>
        <v>9</v>
      </c>
      <c r="Z91" s="432">
        <f t="shared" si="148"/>
        <v>9</v>
      </c>
      <c r="AA91" s="432">
        <f t="shared" si="148"/>
        <v>9</v>
      </c>
      <c r="AB91" s="432">
        <f t="shared" si="148"/>
        <v>9</v>
      </c>
      <c r="AC91" s="432">
        <f>ROUND(31.9/3,1)</f>
        <v>10.6</v>
      </c>
      <c r="AD91" s="432">
        <f>ROUND(31.9/3,1)</f>
        <v>10.6</v>
      </c>
      <c r="AE91" s="432">
        <f>ROUND(31.9/3,1)+0.1</f>
        <v>10.7</v>
      </c>
      <c r="AF91" s="432">
        <f>ROUND(27.8/3,1)</f>
        <v>9.3000000000000007</v>
      </c>
      <c r="AG91" s="432">
        <f>ROUND(27.8/3,1)</f>
        <v>9.3000000000000007</v>
      </c>
      <c r="AH91" s="432">
        <f>ROUND(27.8/3,1)-0.1</f>
        <v>9.2000000000000011</v>
      </c>
      <c r="AI91" s="432">
        <f>ROUND(61.7/6,1)</f>
        <v>10.3</v>
      </c>
      <c r="AJ91" s="432">
        <f t="shared" ref="AJ91:AM91" si="149">ROUND(61.7/6,1)</f>
        <v>10.3</v>
      </c>
      <c r="AK91" s="432">
        <f t="shared" si="149"/>
        <v>10.3</v>
      </c>
      <c r="AL91" s="432">
        <f t="shared" si="149"/>
        <v>10.3</v>
      </c>
      <c r="AM91" s="432">
        <f t="shared" si="149"/>
        <v>10.3</v>
      </c>
      <c r="AN91" s="432">
        <f>ROUND(61.7/6,1)-0.1</f>
        <v>10.200000000000001</v>
      </c>
      <c r="AO91" s="432">
        <f>ROUND(25/6,1)</f>
        <v>4.2</v>
      </c>
      <c r="AP91" s="432">
        <f t="shared" ref="AP91:AS91" si="150">ROUND(25/6,1)</f>
        <v>4.2</v>
      </c>
      <c r="AQ91" s="432">
        <f t="shared" si="150"/>
        <v>4.2</v>
      </c>
      <c r="AR91" s="432">
        <f t="shared" si="150"/>
        <v>4.2</v>
      </c>
      <c r="AS91" s="432">
        <f t="shared" si="150"/>
        <v>4.2</v>
      </c>
      <c r="AT91" s="432">
        <f>ROUND(25/6,1)-0.2</f>
        <v>4</v>
      </c>
      <c r="AU91" s="432">
        <f>ROUND(6.9/5,1)</f>
        <v>1.4</v>
      </c>
      <c r="AV91" s="432">
        <f t="shared" ref="AV91:AX91" si="151">ROUND(6.9/5,1)</f>
        <v>1.4</v>
      </c>
      <c r="AW91" s="432">
        <f t="shared" si="151"/>
        <v>1.4</v>
      </c>
      <c r="AX91" s="432">
        <f t="shared" si="151"/>
        <v>1.4</v>
      </c>
      <c r="AY91" s="432">
        <f>ROUND(6.9/5,1)-0.1</f>
        <v>1.2999999999999998</v>
      </c>
      <c r="AZ91" s="432">
        <f>ROUND(-3.3/5,1)</f>
        <v>-0.7</v>
      </c>
      <c r="BA91" s="432">
        <f t="shared" ref="BA91:BC91" si="152">ROUND(-3.3/5,1)</f>
        <v>-0.7</v>
      </c>
      <c r="BB91" s="432">
        <f t="shared" si="152"/>
        <v>-0.7</v>
      </c>
      <c r="BC91" s="432">
        <f t="shared" si="152"/>
        <v>-0.7</v>
      </c>
      <c r="BD91" s="432">
        <f>ROUND(-3.3/5,1)+0.2</f>
        <v>-0.49999999999999994</v>
      </c>
      <c r="BE91" s="141" t="s">
        <v>247</v>
      </c>
      <c r="BF91" s="431"/>
      <c r="BG91" s="368"/>
      <c r="BH91" s="333" t="str">
        <f ca="1">INDIRECT(ADDRESS(MATCH($B91,'【別紙1】標高（入力）'!$B:$B,0),'【別紙1】標高（入力）'!$N$2,4,TRUE,"【別紙1】標高（入力）"))</f>
        <v>H30</v>
      </c>
      <c r="BI91" s="340">
        <f ca="1">INDIRECT(ADDRESS(MATCH($B91,'【別紙1】標高（入力）'!$B:$B,0),'【別紙1】標高（入力）'!$O$2,4,TRUE,"【別紙1】標高（入力）"))</f>
        <v>5.5640000000000001</v>
      </c>
      <c r="BJ91" s="392"/>
    </row>
    <row r="92" spans="1:62" ht="15.95" customHeight="1">
      <c r="A92" s="119">
        <v>416</v>
      </c>
      <c r="B92" s="107" t="s">
        <v>481</v>
      </c>
      <c r="C92" s="114" t="s">
        <v>132</v>
      </c>
      <c r="D92" s="110" t="s">
        <v>579</v>
      </c>
      <c r="E92" s="109" t="s">
        <v>153</v>
      </c>
      <c r="F92" s="111" t="s">
        <v>9</v>
      </c>
      <c r="G92" s="112" t="s">
        <v>10</v>
      </c>
      <c r="H92" s="112" t="s">
        <v>541</v>
      </c>
      <c r="I92" s="112" t="s">
        <v>54</v>
      </c>
      <c r="J92" s="112" t="s">
        <v>270</v>
      </c>
      <c r="K92" s="224"/>
      <c r="L92" s="228"/>
      <c r="M92" s="228"/>
      <c r="N92" s="432">
        <f>ROUND(79.6/2,1)</f>
        <v>39.799999999999997</v>
      </c>
      <c r="O92" s="432">
        <f>ROUND(79.6/2,1)</f>
        <v>39.799999999999997</v>
      </c>
      <c r="P92" s="127">
        <v>30.9</v>
      </c>
      <c r="Q92" s="124">
        <v>38.6</v>
      </c>
      <c r="R92" s="124">
        <v>43.8</v>
      </c>
      <c r="S92" s="124">
        <v>2.1</v>
      </c>
      <c r="T92" s="124">
        <v>37.200000000000003</v>
      </c>
      <c r="U92" s="124">
        <v>21</v>
      </c>
      <c r="V92" s="123">
        <v>63.5</v>
      </c>
      <c r="W92" s="432">
        <f>ROUND(30.5/3,1)</f>
        <v>10.199999999999999</v>
      </c>
      <c r="X92" s="432">
        <f>ROUND(30.5/3,1)</f>
        <v>10.199999999999999</v>
      </c>
      <c r="Y92" s="432">
        <f>ROUND(30.5/3,1)-0.1</f>
        <v>10.1</v>
      </c>
      <c r="Z92" s="432">
        <f>ROUND(43.9/3,1)</f>
        <v>14.6</v>
      </c>
      <c r="AA92" s="432">
        <f>ROUND(43.9/3,1)</f>
        <v>14.6</v>
      </c>
      <c r="AB92" s="432">
        <f>ROUND(43.9/3,1)+0.1</f>
        <v>14.7</v>
      </c>
      <c r="AC92" s="432">
        <f>ROUND(12.3/3,1)</f>
        <v>4.0999999999999996</v>
      </c>
      <c r="AD92" s="432">
        <f>ROUND(12.3/3,1)</f>
        <v>4.0999999999999996</v>
      </c>
      <c r="AE92" s="432">
        <f>ROUND(12.3/3,1)</f>
        <v>4.0999999999999996</v>
      </c>
      <c r="AF92" s="432">
        <f>ROUND(27.8/3,1)</f>
        <v>9.3000000000000007</v>
      </c>
      <c r="AG92" s="432">
        <f>ROUND(27.8/3,1)</f>
        <v>9.3000000000000007</v>
      </c>
      <c r="AH92" s="432">
        <f>ROUND(27.8/3,1)-0.1</f>
        <v>9.2000000000000011</v>
      </c>
      <c r="AI92" s="432">
        <f>ROUND(15/6,1)</f>
        <v>2.5</v>
      </c>
      <c r="AJ92" s="432">
        <f t="shared" ref="AJ92:AN92" si="153">ROUND(15/6,1)</f>
        <v>2.5</v>
      </c>
      <c r="AK92" s="432">
        <f t="shared" si="153"/>
        <v>2.5</v>
      </c>
      <c r="AL92" s="432">
        <f t="shared" si="153"/>
        <v>2.5</v>
      </c>
      <c r="AM92" s="432">
        <f t="shared" si="153"/>
        <v>2.5</v>
      </c>
      <c r="AN92" s="432">
        <f t="shared" si="153"/>
        <v>2.5</v>
      </c>
      <c r="AO92" s="432">
        <f>ROUND(21.5/6,1)</f>
        <v>3.6</v>
      </c>
      <c r="AP92" s="432">
        <f t="shared" ref="AP92:AS92" si="154">ROUND(21.5/6,1)</f>
        <v>3.6</v>
      </c>
      <c r="AQ92" s="432">
        <f t="shared" si="154"/>
        <v>3.6</v>
      </c>
      <c r="AR92" s="432">
        <f t="shared" si="154"/>
        <v>3.6</v>
      </c>
      <c r="AS92" s="432">
        <f t="shared" si="154"/>
        <v>3.6</v>
      </c>
      <c r="AT92" s="432">
        <f>ROUND(21.5/6,1)-0.1</f>
        <v>3.5</v>
      </c>
      <c r="AU92" s="122">
        <v>-1.4</v>
      </c>
      <c r="AV92" s="432">
        <f>ROUND(6.5/4,1)</f>
        <v>1.6</v>
      </c>
      <c r="AW92" s="432">
        <f t="shared" ref="AW92:AX92" si="155">ROUND(6.5/4,1)</f>
        <v>1.6</v>
      </c>
      <c r="AX92" s="432">
        <f t="shared" si="155"/>
        <v>1.6</v>
      </c>
      <c r="AY92" s="432">
        <f>ROUND(6.5/4,1)+0.1</f>
        <v>1.7000000000000002</v>
      </c>
      <c r="AZ92" s="432">
        <f>ROUND(2.7/5,1)</f>
        <v>0.5</v>
      </c>
      <c r="BA92" s="432">
        <f t="shared" ref="BA92:BC92" si="156">ROUND(2.7/5,1)</f>
        <v>0.5</v>
      </c>
      <c r="BB92" s="432">
        <f t="shared" si="156"/>
        <v>0.5</v>
      </c>
      <c r="BC92" s="432">
        <f t="shared" si="156"/>
        <v>0.5</v>
      </c>
      <c r="BD92" s="432">
        <f>ROUND(2.7/5,1)+0.2</f>
        <v>0.7</v>
      </c>
      <c r="BE92" s="141" t="s">
        <v>247</v>
      </c>
      <c r="BF92" s="431"/>
      <c r="BG92" s="368"/>
      <c r="BH92" s="333" t="str">
        <f ca="1">INDIRECT(ADDRESS(MATCH($B92,'【別紙1】標高（入力）'!$B:$B,0),'【別紙1】標高（入力）'!$N$2,4,TRUE,"【別紙1】標高（入力）"))</f>
        <v>H30</v>
      </c>
      <c r="BI92" s="340">
        <f ca="1">INDIRECT(ADDRESS(MATCH($B92,'【別紙1】標高（入力）'!$B:$B,0),'【別紙1】標高（入力）'!$O$2,4,TRUE,"【別紙1】標高（入力）"))</f>
        <v>9.375</v>
      </c>
      <c r="BJ92" s="392"/>
    </row>
    <row r="93" spans="1:62" s="231" customFormat="1" ht="15.95" customHeight="1">
      <c r="A93" s="214">
        <v>417</v>
      </c>
      <c r="B93" s="215" t="s">
        <v>482</v>
      </c>
      <c r="C93" s="216" t="s">
        <v>132</v>
      </c>
      <c r="D93" s="217" t="s">
        <v>686</v>
      </c>
      <c r="E93" s="218" t="s">
        <v>155</v>
      </c>
      <c r="F93" s="219" t="s">
        <v>9</v>
      </c>
      <c r="G93" s="220" t="s">
        <v>10</v>
      </c>
      <c r="H93" s="220" t="s">
        <v>541</v>
      </c>
      <c r="I93" s="220" t="s">
        <v>54</v>
      </c>
      <c r="J93" s="220" t="s">
        <v>270</v>
      </c>
      <c r="K93" s="224"/>
      <c r="L93" s="228"/>
      <c r="M93" s="228"/>
      <c r="N93" s="432">
        <f>ROUND(34.2/2,1)</f>
        <v>17.100000000000001</v>
      </c>
      <c r="O93" s="432">
        <f>ROUND(34.2/2,1)</f>
        <v>17.100000000000001</v>
      </c>
      <c r="P93" s="127">
        <v>36.4</v>
      </c>
      <c r="Q93" s="124">
        <v>8.4</v>
      </c>
      <c r="R93" s="124">
        <v>28.8</v>
      </c>
      <c r="S93" s="124">
        <v>32.299999999999997</v>
      </c>
      <c r="T93" s="123">
        <v>25</v>
      </c>
      <c r="U93" s="411" t="s">
        <v>47</v>
      </c>
      <c r="V93" s="122">
        <v>8.5</v>
      </c>
      <c r="W93" s="432">
        <f>ROUND(48.7/6,1)</f>
        <v>8.1</v>
      </c>
      <c r="X93" s="432">
        <f t="shared" ref="X93:AA93" si="157">ROUND(48.7/6,1)</f>
        <v>8.1</v>
      </c>
      <c r="Y93" s="432">
        <f t="shared" si="157"/>
        <v>8.1</v>
      </c>
      <c r="Z93" s="432">
        <f t="shared" si="157"/>
        <v>8.1</v>
      </c>
      <c r="AA93" s="432">
        <f t="shared" si="157"/>
        <v>8.1</v>
      </c>
      <c r="AB93" s="432">
        <f>ROUND(48.7/6,1)+0.1</f>
        <v>8.1999999999999993</v>
      </c>
      <c r="AC93" s="432">
        <f>ROUND(21.5/3,1)</f>
        <v>7.2</v>
      </c>
      <c r="AD93" s="432">
        <f>ROUND(21.5/3,1)</f>
        <v>7.2</v>
      </c>
      <c r="AE93" s="432">
        <f>ROUND(21.5/3,1)-0.1</f>
        <v>7.1000000000000005</v>
      </c>
      <c r="AF93" s="432">
        <f>ROUND(16.9/3,1)</f>
        <v>5.6</v>
      </c>
      <c r="AG93" s="432">
        <f>ROUND(16.9/3,1)</f>
        <v>5.6</v>
      </c>
      <c r="AH93" s="432">
        <f>ROUND(16.9/3,1)+0.1</f>
        <v>5.6999999999999993</v>
      </c>
      <c r="AI93" s="432">
        <f>ROUND(39.3/6,1)</f>
        <v>6.6</v>
      </c>
      <c r="AJ93" s="432">
        <f t="shared" ref="AJ93:AK93" si="158">ROUND(39.3/6,1)</f>
        <v>6.6</v>
      </c>
      <c r="AK93" s="432">
        <f t="shared" si="158"/>
        <v>6.6</v>
      </c>
      <c r="AL93" s="432">
        <f>ROUND(39.3/6,1)-0.1</f>
        <v>6.5</v>
      </c>
      <c r="AM93" s="432">
        <f>ROUND(39.3/6,1)-0.1</f>
        <v>6.5</v>
      </c>
      <c r="AN93" s="432">
        <f>ROUND(39.3/6,1)-0.1</f>
        <v>6.5</v>
      </c>
      <c r="AO93" s="432">
        <f>ROUND(48.1/6,1)</f>
        <v>8</v>
      </c>
      <c r="AP93" s="432">
        <f t="shared" ref="AP93:AS93" si="159">ROUND(48.1/6,1)</f>
        <v>8</v>
      </c>
      <c r="AQ93" s="432">
        <f t="shared" si="159"/>
        <v>8</v>
      </c>
      <c r="AR93" s="432">
        <f t="shared" si="159"/>
        <v>8</v>
      </c>
      <c r="AS93" s="432">
        <f t="shared" si="159"/>
        <v>8</v>
      </c>
      <c r="AT93" s="432">
        <f>ROUND(48.1/6,1)+0.1</f>
        <v>8.1</v>
      </c>
      <c r="AU93" s="228"/>
      <c r="AV93" s="228"/>
      <c r="AW93" s="228"/>
      <c r="AX93" s="232"/>
      <c r="AY93" s="228"/>
      <c r="AZ93" s="228"/>
      <c r="BA93" s="228"/>
      <c r="BB93" s="228"/>
      <c r="BC93" s="228"/>
      <c r="BD93" s="228"/>
      <c r="BE93" s="230"/>
      <c r="BF93" s="387"/>
      <c r="BG93" s="386"/>
      <c r="BH93" s="336" t="s">
        <v>529</v>
      </c>
      <c r="BI93" s="344" t="s">
        <v>1189</v>
      </c>
      <c r="BJ93" s="393" t="s">
        <v>726</v>
      </c>
    </row>
    <row r="94" spans="1:62" ht="15.95" customHeight="1">
      <c r="A94" s="119">
        <v>418</v>
      </c>
      <c r="B94" s="107" t="s">
        <v>1178</v>
      </c>
      <c r="C94" s="114" t="s">
        <v>528</v>
      </c>
      <c r="D94" s="110" t="s">
        <v>686</v>
      </c>
      <c r="E94" s="109" t="s">
        <v>1261</v>
      </c>
      <c r="F94" s="111" t="s">
        <v>1262</v>
      </c>
      <c r="G94" s="112" t="s">
        <v>531</v>
      </c>
      <c r="H94" s="112" t="s">
        <v>542</v>
      </c>
      <c r="I94" s="112" t="s">
        <v>1265</v>
      </c>
      <c r="J94" s="112" t="s">
        <v>270</v>
      </c>
      <c r="K94" s="224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9"/>
      <c r="AX94" s="138" t="s">
        <v>289</v>
      </c>
      <c r="AY94" s="139" t="s">
        <v>256</v>
      </c>
      <c r="AZ94" s="432">
        <f>ROUND(5/2,1)</f>
        <v>2.5</v>
      </c>
      <c r="BA94" s="432">
        <f>ROUND(5/2,1)</f>
        <v>2.5</v>
      </c>
      <c r="BB94" s="432">
        <f>ROUND(5.3/3,1)</f>
        <v>1.8</v>
      </c>
      <c r="BC94" s="432">
        <f t="shared" ref="BC94" si="160">ROUND(5.3/3,1)</f>
        <v>1.8</v>
      </c>
      <c r="BD94" s="432">
        <f>ROUND(5.3/3,1)-0.1</f>
        <v>1.7</v>
      </c>
      <c r="BE94" s="141" t="s">
        <v>247</v>
      </c>
      <c r="BF94" s="431"/>
      <c r="BG94" s="368"/>
      <c r="BH94" s="333" t="str">
        <f ca="1">INDIRECT(ADDRESS(MATCH($B94,'【別紙1】標高（入力）'!$B:$B,0),'【別紙1】標高（入力）'!$N$2,4,TRUE,"【別紙1】標高（入力）"))</f>
        <v>R2</v>
      </c>
      <c r="BI94" s="340">
        <f ca="1">INDIRECT(ADDRESS(MATCH($B94,'【別紙1】標高（入力）'!$B:$B,0),'【別紙1】標高（入力）'!$O$2,4,TRUE,"【別紙1】標高（入力）"))</f>
        <v>6.7367999999999997</v>
      </c>
      <c r="BJ94" s="392" t="s">
        <v>1133</v>
      </c>
    </row>
    <row r="95" spans="1:62" s="231" customFormat="1" ht="15.95" customHeight="1">
      <c r="A95" s="214">
        <v>501</v>
      </c>
      <c r="B95" s="215" t="s">
        <v>1195</v>
      </c>
      <c r="C95" s="216" t="s">
        <v>156</v>
      </c>
      <c r="D95" s="217" t="s">
        <v>646</v>
      </c>
      <c r="E95" s="218" t="s">
        <v>157</v>
      </c>
      <c r="F95" s="219" t="s">
        <v>12</v>
      </c>
      <c r="G95" s="220" t="s">
        <v>31</v>
      </c>
      <c r="H95" s="220" t="s">
        <v>541</v>
      </c>
      <c r="I95" s="220" t="s">
        <v>284</v>
      </c>
      <c r="J95" s="220" t="s">
        <v>263</v>
      </c>
      <c r="K95" s="224"/>
      <c r="L95" s="228"/>
      <c r="M95" s="228"/>
      <c r="N95" s="228"/>
      <c r="O95" s="228"/>
      <c r="P95" s="221"/>
      <c r="Q95" s="124">
        <v>7.4</v>
      </c>
      <c r="R95" s="123">
        <v>0.6</v>
      </c>
      <c r="S95" s="432">
        <f>ROUND(1.8/2,1)</f>
        <v>0.9</v>
      </c>
      <c r="T95" s="432">
        <f>ROUND(1.8/2,1)</f>
        <v>0.9</v>
      </c>
      <c r="U95" s="228"/>
      <c r="V95" s="228"/>
      <c r="W95" s="228"/>
      <c r="X95" s="228"/>
      <c r="Y95" s="228"/>
      <c r="Z95" s="229"/>
      <c r="AA95" s="411" t="s">
        <v>47</v>
      </c>
      <c r="AB95" s="135" t="s">
        <v>1280</v>
      </c>
      <c r="AC95" s="432">
        <f>ROUND(3.5/6,1)</f>
        <v>0.6</v>
      </c>
      <c r="AD95" s="432">
        <f t="shared" ref="AD95:AG95" si="161">ROUND(3.5/6,1)</f>
        <v>0.6</v>
      </c>
      <c r="AE95" s="432">
        <f t="shared" si="161"/>
        <v>0.6</v>
      </c>
      <c r="AF95" s="432">
        <f t="shared" si="161"/>
        <v>0.6</v>
      </c>
      <c r="AG95" s="432">
        <f t="shared" si="161"/>
        <v>0.6</v>
      </c>
      <c r="AH95" s="432">
        <f>ROUND(3.5/6,1)-0.1</f>
        <v>0.5</v>
      </c>
      <c r="AI95" s="228"/>
      <c r="AJ95" s="228"/>
      <c r="AK95" s="228"/>
      <c r="AL95" s="228"/>
      <c r="AM95" s="228"/>
      <c r="AN95" s="228"/>
      <c r="AO95" s="228"/>
      <c r="AP95" s="234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30"/>
      <c r="BF95" s="387"/>
      <c r="BG95" s="386"/>
      <c r="BH95" s="336" t="s">
        <v>529</v>
      </c>
      <c r="BI95" s="344" t="s">
        <v>1189</v>
      </c>
      <c r="BJ95" s="393" t="s">
        <v>348</v>
      </c>
    </row>
    <row r="96" spans="1:62" ht="15.95" customHeight="1">
      <c r="A96" s="119">
        <v>502</v>
      </c>
      <c r="B96" s="107" t="s">
        <v>1193</v>
      </c>
      <c r="C96" s="114" t="s">
        <v>156</v>
      </c>
      <c r="D96" s="110" t="s">
        <v>639</v>
      </c>
      <c r="E96" s="109" t="s">
        <v>159</v>
      </c>
      <c r="F96" s="111" t="s">
        <v>12</v>
      </c>
      <c r="G96" s="112" t="s">
        <v>31</v>
      </c>
      <c r="H96" s="112" t="s">
        <v>541</v>
      </c>
      <c r="I96" s="112" t="s">
        <v>310</v>
      </c>
      <c r="J96" s="112" t="s">
        <v>263</v>
      </c>
      <c r="K96" s="224"/>
      <c r="L96" s="228"/>
      <c r="M96" s="228"/>
      <c r="N96" s="228"/>
      <c r="O96" s="228"/>
      <c r="P96" s="221"/>
      <c r="Q96" s="124">
        <v>4.9000000000000004</v>
      </c>
      <c r="R96" s="123">
        <v>-4.7</v>
      </c>
      <c r="S96" s="432">
        <f>ROUND(3.3/2,1)</f>
        <v>1.7</v>
      </c>
      <c r="T96" s="432">
        <f>ROUND(3.3/2,1)-0.1</f>
        <v>1.5999999999999999</v>
      </c>
      <c r="U96" s="432">
        <f>ROUND(9.3/8,1)</f>
        <v>1.2</v>
      </c>
      <c r="V96" s="432">
        <f t="shared" ref="V96:AA96" si="162">ROUND(9.3/8,1)</f>
        <v>1.2</v>
      </c>
      <c r="W96" s="432">
        <f t="shared" si="162"/>
        <v>1.2</v>
      </c>
      <c r="X96" s="432">
        <f t="shared" si="162"/>
        <v>1.2</v>
      </c>
      <c r="Y96" s="432">
        <f t="shared" si="162"/>
        <v>1.2</v>
      </c>
      <c r="Z96" s="432">
        <f t="shared" si="162"/>
        <v>1.2</v>
      </c>
      <c r="AA96" s="432">
        <f t="shared" si="162"/>
        <v>1.2</v>
      </c>
      <c r="AB96" s="432">
        <f>ROUND(9.3/8,1)-0.3</f>
        <v>0.89999999999999991</v>
      </c>
      <c r="AC96" s="432">
        <f>ROUND(-2.9/6,1)</f>
        <v>-0.5</v>
      </c>
      <c r="AD96" s="432">
        <f t="shared" ref="AD96:AG96" si="163">ROUND(-2.9/6,1)</f>
        <v>-0.5</v>
      </c>
      <c r="AE96" s="432">
        <f t="shared" si="163"/>
        <v>-0.5</v>
      </c>
      <c r="AF96" s="432">
        <f t="shared" si="163"/>
        <v>-0.5</v>
      </c>
      <c r="AG96" s="432">
        <f t="shared" si="163"/>
        <v>-0.5</v>
      </c>
      <c r="AH96" s="432">
        <f>ROUND(-2.9/6,1)+0.1</f>
        <v>-0.4</v>
      </c>
      <c r="AI96" s="432">
        <f>ROUND(15.8/8,1)</f>
        <v>2</v>
      </c>
      <c r="AJ96" s="432">
        <f t="shared" ref="AJ96:AO96" si="164">ROUND(15.8/8,1)</f>
        <v>2</v>
      </c>
      <c r="AK96" s="432">
        <f t="shared" si="164"/>
        <v>2</v>
      </c>
      <c r="AL96" s="432">
        <f t="shared" si="164"/>
        <v>2</v>
      </c>
      <c r="AM96" s="432">
        <f t="shared" si="164"/>
        <v>2</v>
      </c>
      <c r="AN96" s="432">
        <f t="shared" si="164"/>
        <v>2</v>
      </c>
      <c r="AO96" s="432">
        <f t="shared" si="164"/>
        <v>2</v>
      </c>
      <c r="AP96" s="432">
        <f>ROUND(15.8/8,1)-0.2</f>
        <v>1.8</v>
      </c>
      <c r="AQ96" s="432">
        <f>ROUND(-1.8/6,1)</f>
        <v>-0.3</v>
      </c>
      <c r="AR96" s="432">
        <f t="shared" ref="AR96:AV96" si="165">ROUND(-1.8/6,1)</f>
        <v>-0.3</v>
      </c>
      <c r="AS96" s="432">
        <f t="shared" si="165"/>
        <v>-0.3</v>
      </c>
      <c r="AT96" s="432">
        <f t="shared" si="165"/>
        <v>-0.3</v>
      </c>
      <c r="AU96" s="432">
        <f t="shared" si="165"/>
        <v>-0.3</v>
      </c>
      <c r="AV96" s="432">
        <f t="shared" si="165"/>
        <v>-0.3</v>
      </c>
      <c r="AW96" s="432">
        <f>ROUND(4.4/6,1)</f>
        <v>0.7</v>
      </c>
      <c r="AX96" s="432">
        <f t="shared" ref="AX96:BA96" si="166">ROUND(4.4/6,1)</f>
        <v>0.7</v>
      </c>
      <c r="AY96" s="432">
        <f t="shared" si="166"/>
        <v>0.7</v>
      </c>
      <c r="AZ96" s="432">
        <f t="shared" si="166"/>
        <v>0.7</v>
      </c>
      <c r="BA96" s="432">
        <f t="shared" si="166"/>
        <v>0.7</v>
      </c>
      <c r="BB96" s="432">
        <f>ROUND(4.4/6,1)+0.2</f>
        <v>0.89999999999999991</v>
      </c>
      <c r="BC96" s="122"/>
      <c r="BD96" s="122" t="s">
        <v>247</v>
      </c>
      <c r="BE96" s="142" t="s">
        <v>247</v>
      </c>
      <c r="BF96" s="379"/>
      <c r="BG96" s="368"/>
      <c r="BH96" s="333" t="e">
        <f ca="1">INDIRECT(ADDRESS(MATCH($B96,'【別紙1】標高（入力）'!$B:$B,0),'【別紙1】標高（入力）'!$N$2,4,TRUE,"【別紙1】標高（入力）"))</f>
        <v>#N/A</v>
      </c>
      <c r="BI96" s="340" t="e">
        <f ca="1">INDIRECT(ADDRESS(MATCH($B96,'【別紙1】標高（入力）'!$B:$B,0),'【別紙1】標高（入力）'!$O$2,4,TRUE,"【別紙1】標高（入力）"))</f>
        <v>#N/A</v>
      </c>
      <c r="BJ96" s="392"/>
    </row>
    <row r="97" spans="1:62" ht="15.95" customHeight="1">
      <c r="A97" s="119">
        <v>503</v>
      </c>
      <c r="B97" s="107" t="s">
        <v>1194</v>
      </c>
      <c r="C97" s="114" t="s">
        <v>156</v>
      </c>
      <c r="D97" s="110" t="s">
        <v>574</v>
      </c>
      <c r="E97" s="109" t="s">
        <v>161</v>
      </c>
      <c r="F97" s="111" t="s">
        <v>12</v>
      </c>
      <c r="G97" s="112" t="s">
        <v>31</v>
      </c>
      <c r="H97" s="112" t="s">
        <v>541</v>
      </c>
      <c r="I97" s="112" t="s">
        <v>284</v>
      </c>
      <c r="J97" s="112" t="s">
        <v>263</v>
      </c>
      <c r="K97" s="224"/>
      <c r="L97" s="228"/>
      <c r="M97" s="228"/>
      <c r="N97" s="228"/>
      <c r="O97" s="228"/>
      <c r="P97" s="221"/>
      <c r="Q97" s="124">
        <v>3.7</v>
      </c>
      <c r="R97" s="123">
        <v>-0.3</v>
      </c>
      <c r="S97" s="432">
        <f>ROUND(0.5/2,1)</f>
        <v>0.3</v>
      </c>
      <c r="T97" s="432">
        <f>ROUND(0.5/2,1)-0.1</f>
        <v>0.19999999999999998</v>
      </c>
      <c r="U97" s="432">
        <f>ROUND(2.9/4,1)</f>
        <v>0.7</v>
      </c>
      <c r="V97" s="432">
        <f t="shared" ref="V97:W97" si="167">ROUND(2.9/4,1)</f>
        <v>0.7</v>
      </c>
      <c r="W97" s="432">
        <f t="shared" si="167"/>
        <v>0.7</v>
      </c>
      <c r="X97" s="432">
        <f>ROUND(2.9/4,1)+0.1</f>
        <v>0.79999999999999993</v>
      </c>
      <c r="Y97" s="432">
        <f>ROUND(11.5/4,1)</f>
        <v>2.9</v>
      </c>
      <c r="Z97" s="432">
        <f t="shared" ref="Z97:AA97" si="168">ROUND(11.5/4,1)</f>
        <v>2.9</v>
      </c>
      <c r="AA97" s="432">
        <f t="shared" si="168"/>
        <v>2.9</v>
      </c>
      <c r="AB97" s="432">
        <f>ROUND(11.5/4,1)-0.1</f>
        <v>2.8</v>
      </c>
      <c r="AC97" s="432">
        <f>ROUND(-2.1/3,1)</f>
        <v>-0.7</v>
      </c>
      <c r="AD97" s="432">
        <f t="shared" ref="AD97:AE97" si="169">ROUND(-2.1/3,1)</f>
        <v>-0.7</v>
      </c>
      <c r="AE97" s="432">
        <f t="shared" si="169"/>
        <v>-0.7</v>
      </c>
      <c r="AF97" s="432">
        <f>ROUND(-0.3/3,1)</f>
        <v>-0.1</v>
      </c>
      <c r="AG97" s="432">
        <f t="shared" ref="AG97:AH97" si="170">ROUND(-0.3/3,1)</f>
        <v>-0.1</v>
      </c>
      <c r="AH97" s="432">
        <f t="shared" si="170"/>
        <v>-0.1</v>
      </c>
      <c r="AI97" s="432">
        <f>ROUND(19.1/8,1)</f>
        <v>2.4</v>
      </c>
      <c r="AJ97" s="432">
        <f t="shared" ref="AJ97:AO97" si="171">ROUND(19.1/8,1)</f>
        <v>2.4</v>
      </c>
      <c r="AK97" s="432">
        <f t="shared" si="171"/>
        <v>2.4</v>
      </c>
      <c r="AL97" s="432">
        <f t="shared" si="171"/>
        <v>2.4</v>
      </c>
      <c r="AM97" s="432">
        <f t="shared" si="171"/>
        <v>2.4</v>
      </c>
      <c r="AN97" s="432">
        <f t="shared" si="171"/>
        <v>2.4</v>
      </c>
      <c r="AO97" s="432">
        <f t="shared" si="171"/>
        <v>2.4</v>
      </c>
      <c r="AP97" s="432">
        <f>ROUND(19.1/8,1)-0.1</f>
        <v>2.2999999999999998</v>
      </c>
      <c r="AQ97" s="432">
        <f>ROUND(-2.1/4,1)</f>
        <v>-0.5</v>
      </c>
      <c r="AR97" s="432">
        <f t="shared" ref="AR97:AS97" si="172">ROUND(-2.1/4,1)</f>
        <v>-0.5</v>
      </c>
      <c r="AS97" s="432">
        <f t="shared" si="172"/>
        <v>-0.5</v>
      </c>
      <c r="AT97" s="432">
        <f>ROUND(-2.1/4,1)-0.1</f>
        <v>-0.6</v>
      </c>
      <c r="AU97" s="122">
        <v>-2.2000000000000002</v>
      </c>
      <c r="AV97" s="125">
        <v>1.2</v>
      </c>
      <c r="AW97" s="432">
        <f>ROUND(-5.6/3,1)</f>
        <v>-1.9</v>
      </c>
      <c r="AX97" s="432">
        <f t="shared" ref="AX97" si="173">ROUND(-5.6/3,1)</f>
        <v>-1.9</v>
      </c>
      <c r="AY97" s="432">
        <f>ROUND(-5.6/3,1)+0.1</f>
        <v>-1.7999999999999998</v>
      </c>
      <c r="AZ97" s="432">
        <f>ROUND(-0.5/2,1)</f>
        <v>-0.3</v>
      </c>
      <c r="BA97" s="432">
        <f>ROUND(-0.5/2,1)+0.1</f>
        <v>-0.19999999999999998</v>
      </c>
      <c r="BB97" s="122">
        <v>0.9</v>
      </c>
      <c r="BC97" s="432">
        <f>ROUND(0.8/2,1)</f>
        <v>0.4</v>
      </c>
      <c r="BD97" s="432">
        <f>ROUND(0.8/2,1)</f>
        <v>0.4</v>
      </c>
      <c r="BE97" s="141" t="s">
        <v>247</v>
      </c>
      <c r="BF97" s="431"/>
      <c r="BG97" s="368"/>
      <c r="BH97" s="333" t="e">
        <f ca="1">INDIRECT(ADDRESS(MATCH($B97,'【別紙1】標高（入力）'!$B:$B,0),'【別紙1】標高（入力）'!$N$2,4,TRUE,"【別紙1】標高（入力）"))</f>
        <v>#N/A</v>
      </c>
      <c r="BI97" s="340" t="e">
        <f ca="1">INDIRECT(ADDRESS(MATCH($B97,'【別紙1】標高（入力）'!$B:$B,0),'【別紙1】標高（入力）'!$O$2,4,TRUE,"【別紙1】標高（入力）"))</f>
        <v>#N/A</v>
      </c>
      <c r="BJ97" s="392"/>
    </row>
    <row r="98" spans="1:62" ht="15.95" customHeight="1">
      <c r="A98" s="119">
        <v>504</v>
      </c>
      <c r="B98" s="107" t="s">
        <v>484</v>
      </c>
      <c r="C98" s="114" t="s">
        <v>156</v>
      </c>
      <c r="D98" s="110" t="s">
        <v>560</v>
      </c>
      <c r="E98" s="109" t="s">
        <v>163</v>
      </c>
      <c r="F98" s="111" t="s">
        <v>9</v>
      </c>
      <c r="G98" s="112" t="s">
        <v>10</v>
      </c>
      <c r="H98" s="112" t="s">
        <v>541</v>
      </c>
      <c r="I98" s="112" t="s">
        <v>281</v>
      </c>
      <c r="J98" s="112" t="s">
        <v>547</v>
      </c>
      <c r="K98" s="224"/>
      <c r="L98" s="228"/>
      <c r="M98" s="228"/>
      <c r="N98" s="432">
        <f>ROUND(2/3,1)</f>
        <v>0.7</v>
      </c>
      <c r="O98" s="432">
        <f>ROUND(2/3,1)</f>
        <v>0.7</v>
      </c>
      <c r="P98" s="432">
        <f>ROUND(2/3,1)-0.1</f>
        <v>0.6</v>
      </c>
      <c r="Q98" s="127">
        <v>9.1999999999999993</v>
      </c>
      <c r="R98" s="123">
        <v>1.8</v>
      </c>
      <c r="S98" s="432">
        <f>ROUND(7/2,1)</f>
        <v>3.5</v>
      </c>
      <c r="T98" s="432">
        <f>ROUND(7/2,1)</f>
        <v>3.5</v>
      </c>
      <c r="U98" s="432">
        <f>ROUND(10.7/8,1)</f>
        <v>1.3</v>
      </c>
      <c r="V98" s="432">
        <f t="shared" ref="V98:AA98" si="174">ROUND(10.7/8,1)</f>
        <v>1.3</v>
      </c>
      <c r="W98" s="432">
        <f t="shared" si="174"/>
        <v>1.3</v>
      </c>
      <c r="X98" s="432">
        <f t="shared" si="174"/>
        <v>1.3</v>
      </c>
      <c r="Y98" s="432">
        <f t="shared" si="174"/>
        <v>1.3</v>
      </c>
      <c r="Z98" s="432">
        <f t="shared" si="174"/>
        <v>1.3</v>
      </c>
      <c r="AA98" s="432">
        <f t="shared" si="174"/>
        <v>1.3</v>
      </c>
      <c r="AB98" s="432">
        <f>ROUND(10.7/8,1)+0.3</f>
        <v>1.6</v>
      </c>
      <c r="AC98" s="432">
        <f>ROUND(1.8/3,1)</f>
        <v>0.6</v>
      </c>
      <c r="AD98" s="432">
        <f t="shared" ref="AD98:AE98" si="175">ROUND(1.8/3,1)</f>
        <v>0.6</v>
      </c>
      <c r="AE98" s="432">
        <f t="shared" si="175"/>
        <v>0.6</v>
      </c>
      <c r="AF98" s="432">
        <f>ROUND(1.4/3,1)</f>
        <v>0.5</v>
      </c>
      <c r="AG98" s="432">
        <f t="shared" ref="AG98" si="176">ROUND(1.4/3,1)</f>
        <v>0.5</v>
      </c>
      <c r="AH98" s="432">
        <f>ROUND(1.4/3,1)-0.1</f>
        <v>0.4</v>
      </c>
      <c r="AI98" s="432">
        <f>ROUND(26.3/8,1)</f>
        <v>3.3</v>
      </c>
      <c r="AJ98" s="432">
        <f t="shared" ref="AJ98:AO98" si="177">ROUND(26.3/8,1)</f>
        <v>3.3</v>
      </c>
      <c r="AK98" s="432">
        <f t="shared" si="177"/>
        <v>3.3</v>
      </c>
      <c r="AL98" s="432">
        <f t="shared" si="177"/>
        <v>3.3</v>
      </c>
      <c r="AM98" s="432">
        <f t="shared" si="177"/>
        <v>3.3</v>
      </c>
      <c r="AN98" s="432">
        <f t="shared" si="177"/>
        <v>3.3</v>
      </c>
      <c r="AO98" s="432">
        <f t="shared" si="177"/>
        <v>3.3</v>
      </c>
      <c r="AP98" s="432">
        <f>ROUND(26.3/8,1)-0.1</f>
        <v>3.1999999999999997</v>
      </c>
      <c r="AQ98" s="432">
        <f>ROUND(-5.4/6,1)</f>
        <v>-0.9</v>
      </c>
      <c r="AR98" s="432">
        <f t="shared" ref="AR98:AV98" si="178">ROUND(-5.4/6,1)</f>
        <v>-0.9</v>
      </c>
      <c r="AS98" s="432">
        <f t="shared" si="178"/>
        <v>-0.9</v>
      </c>
      <c r="AT98" s="432">
        <f t="shared" si="178"/>
        <v>-0.9</v>
      </c>
      <c r="AU98" s="432">
        <f t="shared" si="178"/>
        <v>-0.9</v>
      </c>
      <c r="AV98" s="432">
        <f t="shared" si="178"/>
        <v>-0.9</v>
      </c>
      <c r="AW98" s="432">
        <f>ROUND(0.2/5,1)</f>
        <v>0</v>
      </c>
      <c r="AX98" s="432">
        <f t="shared" ref="AX98:AZ98" si="179">ROUND(0.2/5,1)</f>
        <v>0</v>
      </c>
      <c r="AY98" s="432">
        <f t="shared" si="179"/>
        <v>0</v>
      </c>
      <c r="AZ98" s="432">
        <f t="shared" si="179"/>
        <v>0</v>
      </c>
      <c r="BA98" s="432">
        <f>ROUND(0.2/5,1)+0.2</f>
        <v>0.2</v>
      </c>
      <c r="BB98" s="122"/>
      <c r="BC98" s="122"/>
      <c r="BD98" s="122" t="s">
        <v>247</v>
      </c>
      <c r="BE98" s="142" t="s">
        <v>247</v>
      </c>
      <c r="BF98" s="379"/>
      <c r="BG98" s="368"/>
      <c r="BH98" s="333" t="str">
        <f ca="1">INDIRECT(ADDRESS(MATCH($B98,'【別紙1】標高（入力）'!$B:$B,0),'【別紙1】標高（入力）'!$N$2,4,TRUE,"【別紙1】標高（入力）"))</f>
        <v>R4</v>
      </c>
      <c r="BI98" s="340">
        <f ca="1">INDIRECT(ADDRESS(MATCH($B98,'【別紙1】標高（入力）'!$B:$B,0),'【別紙1】標高（入力）'!$O$2,4,TRUE,"【別紙1】標高（入力）"))</f>
        <v>51.691699999999997</v>
      </c>
      <c r="BJ98" s="392"/>
    </row>
    <row r="99" spans="1:62" ht="15.95" customHeight="1">
      <c r="A99" s="119">
        <v>505</v>
      </c>
      <c r="B99" s="107" t="s">
        <v>486</v>
      </c>
      <c r="C99" s="114" t="s">
        <v>156</v>
      </c>
      <c r="D99" s="110" t="s">
        <v>719</v>
      </c>
      <c r="E99" s="109" t="s">
        <v>165</v>
      </c>
      <c r="F99" s="111" t="s">
        <v>9</v>
      </c>
      <c r="G99" s="112" t="s">
        <v>10</v>
      </c>
      <c r="H99" s="112" t="s">
        <v>541</v>
      </c>
      <c r="I99" s="112" t="s">
        <v>284</v>
      </c>
      <c r="J99" s="112" t="s">
        <v>263</v>
      </c>
      <c r="K99" s="224"/>
      <c r="L99" s="228"/>
      <c r="M99" s="228"/>
      <c r="N99" s="432">
        <f>ROUND(6.6/3,1)</f>
        <v>2.2000000000000002</v>
      </c>
      <c r="O99" s="432">
        <f>ROUND(6.6/3,1)</f>
        <v>2.2000000000000002</v>
      </c>
      <c r="P99" s="432">
        <f>ROUND(6.6/3,1)</f>
        <v>2.2000000000000002</v>
      </c>
      <c r="Q99" s="127">
        <v>6.4</v>
      </c>
      <c r="R99" s="123">
        <v>2.5</v>
      </c>
      <c r="S99" s="432">
        <f>ROUND(1.5/2,1)</f>
        <v>0.8</v>
      </c>
      <c r="T99" s="432">
        <f>ROUND(1.5/2,1)-0.1</f>
        <v>0.70000000000000007</v>
      </c>
      <c r="U99" s="432">
        <f>ROUND(13.1/8,1)</f>
        <v>1.6</v>
      </c>
      <c r="V99" s="432">
        <f t="shared" ref="V99:AA99" si="180">ROUND(13.1/8,1)</f>
        <v>1.6</v>
      </c>
      <c r="W99" s="432">
        <f t="shared" si="180"/>
        <v>1.6</v>
      </c>
      <c r="X99" s="432">
        <f t="shared" si="180"/>
        <v>1.6</v>
      </c>
      <c r="Y99" s="432">
        <f t="shared" si="180"/>
        <v>1.6</v>
      </c>
      <c r="Z99" s="432">
        <f t="shared" si="180"/>
        <v>1.6</v>
      </c>
      <c r="AA99" s="432">
        <f t="shared" si="180"/>
        <v>1.6</v>
      </c>
      <c r="AB99" s="432">
        <f>ROUND(13.1/8,1)+0.3</f>
        <v>1.9000000000000001</v>
      </c>
      <c r="AC99" s="432">
        <f>ROUND(2.7/3,1)</f>
        <v>0.9</v>
      </c>
      <c r="AD99" s="432">
        <f t="shared" ref="AD99:AE99" si="181">ROUND(2.7/3,1)</f>
        <v>0.9</v>
      </c>
      <c r="AE99" s="432">
        <f t="shared" si="181"/>
        <v>0.9</v>
      </c>
      <c r="AF99" s="432">
        <f>ROUND(0.6/3,1)</f>
        <v>0.2</v>
      </c>
      <c r="AG99" s="432">
        <f t="shared" ref="AG99:AH99" si="182">ROUND(0.6/3,1)</f>
        <v>0.2</v>
      </c>
      <c r="AH99" s="432">
        <f t="shared" si="182"/>
        <v>0.2</v>
      </c>
      <c r="AI99" s="432">
        <f>ROUND(19.5/8,1)</f>
        <v>2.4</v>
      </c>
      <c r="AJ99" s="432">
        <f t="shared" ref="AJ99:AO99" si="183">ROUND(19.5/8,1)</f>
        <v>2.4</v>
      </c>
      <c r="AK99" s="432">
        <f t="shared" si="183"/>
        <v>2.4</v>
      </c>
      <c r="AL99" s="432">
        <f t="shared" si="183"/>
        <v>2.4</v>
      </c>
      <c r="AM99" s="432">
        <f t="shared" si="183"/>
        <v>2.4</v>
      </c>
      <c r="AN99" s="432">
        <f t="shared" si="183"/>
        <v>2.4</v>
      </c>
      <c r="AO99" s="432">
        <f t="shared" si="183"/>
        <v>2.4</v>
      </c>
      <c r="AP99" s="432">
        <f>ROUND(19.5/8,1)-0.3</f>
        <v>2.1</v>
      </c>
      <c r="AQ99" s="432">
        <f>ROUND(-2.3/4,1)</f>
        <v>-0.6</v>
      </c>
      <c r="AR99" s="432">
        <f t="shared" ref="AR99:AS99" si="184">ROUND(-2.3/4,1)</f>
        <v>-0.6</v>
      </c>
      <c r="AS99" s="432">
        <f t="shared" si="184"/>
        <v>-0.6</v>
      </c>
      <c r="AT99" s="432">
        <f>ROUND(-2.3/4,1)+0.1</f>
        <v>-0.5</v>
      </c>
      <c r="AU99" s="122">
        <v>0.3</v>
      </c>
      <c r="AV99" s="432">
        <f>ROUND(6.2/4,1)</f>
        <v>1.6</v>
      </c>
      <c r="AW99" s="432">
        <f t="shared" ref="AW99:AX99" si="185">ROUND(6.2/4,1)</f>
        <v>1.6</v>
      </c>
      <c r="AX99" s="432">
        <f t="shared" si="185"/>
        <v>1.6</v>
      </c>
      <c r="AY99" s="432">
        <f>ROUND(6.2/4,1)-0.2</f>
        <v>1.4000000000000001</v>
      </c>
      <c r="AZ99" s="432">
        <f>ROUND(-0.7/2,1)</f>
        <v>-0.4</v>
      </c>
      <c r="BA99" s="432">
        <f>ROUND(-0.7/2,1)+0.1</f>
        <v>-0.30000000000000004</v>
      </c>
      <c r="BB99" s="432">
        <f>ROUND(-1.2/3,1)</f>
        <v>-0.4</v>
      </c>
      <c r="BC99" s="432">
        <f t="shared" ref="BC99:BD99" si="186">ROUND(-1.2/3,1)</f>
        <v>-0.4</v>
      </c>
      <c r="BD99" s="432">
        <f t="shared" si="186"/>
        <v>-0.4</v>
      </c>
      <c r="BE99" s="141" t="s">
        <v>247</v>
      </c>
      <c r="BF99" s="431"/>
      <c r="BG99" s="368"/>
      <c r="BH99" s="333" t="str">
        <f ca="1">INDIRECT(ADDRESS(MATCH($B99,'【別紙1】標高（入力）'!$B:$B,0),'【別紙1】標高（入力）'!$N$2,4,TRUE,"【別紙1】標高（入力）"))</f>
        <v>R4</v>
      </c>
      <c r="BI99" s="340">
        <f ca="1">INDIRECT(ADDRESS(MATCH($B99,'【別紙1】標高（入力）'!$B:$B,0),'【別紙1】標高（入力）'!$O$2,4,TRUE,"【別紙1】標高（入力）"))</f>
        <v>35.787199999999999</v>
      </c>
      <c r="BJ99" s="392"/>
    </row>
    <row r="100" spans="1:62" ht="15.95" customHeight="1">
      <c r="A100" s="119">
        <v>506</v>
      </c>
      <c r="B100" s="107" t="s">
        <v>1179</v>
      </c>
      <c r="C100" s="114" t="s">
        <v>156</v>
      </c>
      <c r="D100" s="110" t="s">
        <v>712</v>
      </c>
      <c r="E100" s="109" t="s">
        <v>167</v>
      </c>
      <c r="F100" s="111" t="s">
        <v>9</v>
      </c>
      <c r="G100" s="112" t="s">
        <v>10</v>
      </c>
      <c r="H100" s="112" t="s">
        <v>541</v>
      </c>
      <c r="I100" s="112" t="s">
        <v>284</v>
      </c>
      <c r="J100" s="112" t="s">
        <v>263</v>
      </c>
      <c r="K100" s="224"/>
      <c r="L100" s="228"/>
      <c r="M100" s="228"/>
      <c r="N100" s="432">
        <f>ROUND(6.5/3,1)</f>
        <v>2.2000000000000002</v>
      </c>
      <c r="O100" s="432">
        <f>ROUND(6.5/3,1)</f>
        <v>2.2000000000000002</v>
      </c>
      <c r="P100" s="432">
        <f>ROUND(6.5/3,1)-0.1</f>
        <v>2.1</v>
      </c>
      <c r="Q100" s="127">
        <v>4.3</v>
      </c>
      <c r="R100" s="224"/>
      <c r="S100" s="228"/>
      <c r="T100" s="228"/>
      <c r="U100" s="221"/>
      <c r="V100" s="129" t="s">
        <v>168</v>
      </c>
      <c r="W100" s="224"/>
      <c r="X100" s="228"/>
      <c r="Y100" s="432">
        <f>ROUND(11/4,1)</f>
        <v>2.8</v>
      </c>
      <c r="Z100" s="432">
        <f t="shared" ref="Z100:AA100" si="187">ROUND(11/4,1)</f>
        <v>2.8</v>
      </c>
      <c r="AA100" s="432">
        <f t="shared" si="187"/>
        <v>2.8</v>
      </c>
      <c r="AB100" s="432">
        <f>ROUND(11/4,1)-0.2</f>
        <v>2.5999999999999996</v>
      </c>
      <c r="AC100" s="432">
        <f>ROUND(0.2/3,1)</f>
        <v>0.1</v>
      </c>
      <c r="AD100" s="432">
        <f t="shared" ref="AD100" si="188">ROUND(0.2/3,1)</f>
        <v>0.1</v>
      </c>
      <c r="AE100" s="432">
        <f>ROUND(0.2/3,1)-0.1</f>
        <v>0</v>
      </c>
      <c r="AF100" s="432">
        <f>ROUND(-0.3/3,1)</f>
        <v>-0.1</v>
      </c>
      <c r="AG100" s="432">
        <f t="shared" ref="AG100:AH100" si="189">ROUND(-0.3/3,1)</f>
        <v>-0.1</v>
      </c>
      <c r="AH100" s="432">
        <f t="shared" si="189"/>
        <v>-0.1</v>
      </c>
      <c r="AI100" s="432">
        <f>ROUND(18.6/8,1)</f>
        <v>2.2999999999999998</v>
      </c>
      <c r="AJ100" s="432">
        <f t="shared" ref="AJ100:AO100" si="190">ROUND(18.6/8,1)</f>
        <v>2.2999999999999998</v>
      </c>
      <c r="AK100" s="432">
        <f t="shared" si="190"/>
        <v>2.2999999999999998</v>
      </c>
      <c r="AL100" s="432">
        <f t="shared" si="190"/>
        <v>2.2999999999999998</v>
      </c>
      <c r="AM100" s="432">
        <f t="shared" si="190"/>
        <v>2.2999999999999998</v>
      </c>
      <c r="AN100" s="432">
        <f t="shared" si="190"/>
        <v>2.2999999999999998</v>
      </c>
      <c r="AO100" s="432">
        <f t="shared" si="190"/>
        <v>2.2999999999999998</v>
      </c>
      <c r="AP100" s="432">
        <f>ROUND(18.6/8,1)+0.2</f>
        <v>2.5</v>
      </c>
      <c r="AQ100" s="432">
        <f>ROUND(0.4/4,1)</f>
        <v>0.1</v>
      </c>
      <c r="AR100" s="432">
        <f t="shared" ref="AR100:AT100" si="191">ROUND(0.4/4,1)</f>
        <v>0.1</v>
      </c>
      <c r="AS100" s="432">
        <f t="shared" si="191"/>
        <v>0.1</v>
      </c>
      <c r="AT100" s="432">
        <f t="shared" si="191"/>
        <v>0.1</v>
      </c>
      <c r="AU100" s="122">
        <v>-2.1</v>
      </c>
      <c r="AV100" s="432">
        <f>ROUND(3.7/4,1)</f>
        <v>0.9</v>
      </c>
      <c r="AW100" s="432">
        <f t="shared" ref="AW100:AX100" si="192">ROUND(3.7/4,1)</f>
        <v>0.9</v>
      </c>
      <c r="AX100" s="432">
        <f t="shared" si="192"/>
        <v>0.9</v>
      </c>
      <c r="AY100" s="432">
        <f>ROUND(3.7/4,1)+0.1</f>
        <v>1</v>
      </c>
      <c r="AZ100" s="432">
        <f>ROUND(-0.9/2,1)</f>
        <v>-0.5</v>
      </c>
      <c r="BA100" s="432">
        <f>ROUND(-0.9/2,1)+0.1</f>
        <v>-0.4</v>
      </c>
      <c r="BB100" s="432">
        <f>ROUND(-3.6/3,1)</f>
        <v>-1.2</v>
      </c>
      <c r="BC100" s="432">
        <f t="shared" ref="BC100:BD100" si="193">ROUND(-3.6/3,1)</f>
        <v>-1.2</v>
      </c>
      <c r="BD100" s="432">
        <f t="shared" si="193"/>
        <v>-1.2</v>
      </c>
      <c r="BE100" s="141" t="s">
        <v>247</v>
      </c>
      <c r="BF100" s="431"/>
      <c r="BG100" s="368"/>
      <c r="BH100" s="333" t="str">
        <f ca="1">INDIRECT(ADDRESS(MATCH($B100,'【別紙1】標高（入力）'!$B:$B,0),'【別紙1】標高（入力）'!$N$2,4,TRUE,"【別紙1】標高（入力）"))</f>
        <v>R2</v>
      </c>
      <c r="BI100" s="340">
        <f ca="1">INDIRECT(ADDRESS(MATCH($B100,'【別紙1】標高（入力）'!$B:$B,0),'【別紙1】標高（入力）'!$O$2,4,TRUE,"【別紙1】標高（入力）"))</f>
        <v>34.5901</v>
      </c>
      <c r="BJ100" s="392"/>
    </row>
    <row r="101" spans="1:62" ht="15.95" customHeight="1">
      <c r="A101" s="119">
        <v>507</v>
      </c>
      <c r="B101" s="107" t="s">
        <v>1180</v>
      </c>
      <c r="C101" s="114" t="s">
        <v>156</v>
      </c>
      <c r="D101" s="110" t="s">
        <v>717</v>
      </c>
      <c r="E101" s="109" t="s">
        <v>170</v>
      </c>
      <c r="F101" s="111" t="s">
        <v>9</v>
      </c>
      <c r="G101" s="112" t="s">
        <v>127</v>
      </c>
      <c r="H101" s="112" t="s">
        <v>541</v>
      </c>
      <c r="I101" s="112" t="s">
        <v>141</v>
      </c>
      <c r="J101" s="112" t="s">
        <v>547</v>
      </c>
      <c r="K101" s="224"/>
      <c r="L101" s="228"/>
      <c r="M101" s="228"/>
      <c r="N101" s="228"/>
      <c r="O101" s="228"/>
      <c r="P101" s="228"/>
      <c r="Q101" s="221"/>
      <c r="R101" s="123">
        <v>0.5</v>
      </c>
      <c r="S101" s="432">
        <f>ROUND(6.9/2,1)</f>
        <v>3.5</v>
      </c>
      <c r="T101" s="432">
        <f>ROUND(6.9/2,1)-0.1</f>
        <v>3.4</v>
      </c>
      <c r="U101" s="432">
        <f>ROUND(2.3/8,1)</f>
        <v>0.3</v>
      </c>
      <c r="V101" s="432">
        <f t="shared" ref="V101:AA101" si="194">ROUND(2.3/8,1)</f>
        <v>0.3</v>
      </c>
      <c r="W101" s="432">
        <f t="shared" si="194"/>
        <v>0.3</v>
      </c>
      <c r="X101" s="432">
        <f t="shared" si="194"/>
        <v>0.3</v>
      </c>
      <c r="Y101" s="432">
        <f t="shared" si="194"/>
        <v>0.3</v>
      </c>
      <c r="Z101" s="432">
        <f t="shared" si="194"/>
        <v>0.3</v>
      </c>
      <c r="AA101" s="432">
        <f t="shared" si="194"/>
        <v>0.3</v>
      </c>
      <c r="AB101" s="432">
        <f>ROUND(2.3/8,1)-0.1</f>
        <v>0.19999999999999998</v>
      </c>
      <c r="AC101" s="432">
        <f>ROUND(-1.9/6,1)</f>
        <v>-0.3</v>
      </c>
      <c r="AD101" s="432">
        <f t="shared" ref="AD101:AG101" si="195">ROUND(-1.9/6,1)</f>
        <v>-0.3</v>
      </c>
      <c r="AE101" s="432">
        <f t="shared" si="195"/>
        <v>-0.3</v>
      </c>
      <c r="AF101" s="432">
        <f t="shared" si="195"/>
        <v>-0.3</v>
      </c>
      <c r="AG101" s="432">
        <f t="shared" si="195"/>
        <v>-0.3</v>
      </c>
      <c r="AH101" s="432">
        <f>ROUND(-1.9/6,1)-0.1</f>
        <v>-0.4</v>
      </c>
      <c r="AI101" s="432">
        <f>ROUND(13.6/8,1)</f>
        <v>1.7</v>
      </c>
      <c r="AJ101" s="432">
        <f t="shared" ref="AJ101:AP101" si="196">ROUND(13.6/8,1)</f>
        <v>1.7</v>
      </c>
      <c r="AK101" s="432">
        <f t="shared" si="196"/>
        <v>1.7</v>
      </c>
      <c r="AL101" s="432">
        <f t="shared" si="196"/>
        <v>1.7</v>
      </c>
      <c r="AM101" s="432">
        <f t="shared" si="196"/>
        <v>1.7</v>
      </c>
      <c r="AN101" s="432">
        <f t="shared" si="196"/>
        <v>1.7</v>
      </c>
      <c r="AO101" s="432">
        <f t="shared" si="196"/>
        <v>1.7</v>
      </c>
      <c r="AP101" s="432">
        <f t="shared" si="196"/>
        <v>1.7</v>
      </c>
      <c r="AQ101" s="432">
        <f>ROUND(-1.8/6,1)</f>
        <v>-0.3</v>
      </c>
      <c r="AR101" s="432">
        <f t="shared" ref="AR101:AV101" si="197">ROUND(-1.8/6,1)</f>
        <v>-0.3</v>
      </c>
      <c r="AS101" s="432">
        <f t="shared" si="197"/>
        <v>-0.3</v>
      </c>
      <c r="AT101" s="432">
        <f t="shared" si="197"/>
        <v>-0.3</v>
      </c>
      <c r="AU101" s="432">
        <f t="shared" si="197"/>
        <v>-0.3</v>
      </c>
      <c r="AV101" s="432">
        <f t="shared" si="197"/>
        <v>-0.3</v>
      </c>
      <c r="AW101" s="432">
        <f>ROUND(2.4/6,1)</f>
        <v>0.4</v>
      </c>
      <c r="AX101" s="432">
        <f t="shared" ref="AX101:BB101" si="198">ROUND(2.4/6,1)</f>
        <v>0.4</v>
      </c>
      <c r="AY101" s="432">
        <f t="shared" si="198"/>
        <v>0.4</v>
      </c>
      <c r="AZ101" s="432">
        <f t="shared" si="198"/>
        <v>0.4</v>
      </c>
      <c r="BA101" s="432">
        <f t="shared" si="198"/>
        <v>0.4</v>
      </c>
      <c r="BB101" s="432">
        <f t="shared" si="198"/>
        <v>0.4</v>
      </c>
      <c r="BC101" s="122"/>
      <c r="BD101" s="122" t="s">
        <v>247</v>
      </c>
      <c r="BE101" s="142" t="s">
        <v>247</v>
      </c>
      <c r="BF101" s="379"/>
      <c r="BG101" s="368"/>
      <c r="BH101" s="333" t="str">
        <f ca="1">INDIRECT(ADDRESS(MATCH($B101,'【別紙1】標高（入力）'!$B:$B,0),'【別紙1】標高（入力）'!$N$2,4,TRUE,"【別紙1】標高（入力）"))</f>
        <v>R3</v>
      </c>
      <c r="BI101" s="340">
        <f ca="1">INDIRECT(ADDRESS(MATCH($B101,'【別紙1】標高（入力）'!$B:$B,0),'【別紙1】標高（入力）'!$O$2,4,TRUE,"【別紙1】標高（入力）"))</f>
        <v>106.8322</v>
      </c>
      <c r="BJ101" s="392"/>
    </row>
    <row r="102" spans="1:62" ht="15.95" customHeight="1">
      <c r="A102" s="119">
        <v>508</v>
      </c>
      <c r="B102" s="107" t="s">
        <v>490</v>
      </c>
      <c r="C102" s="114" t="s">
        <v>156</v>
      </c>
      <c r="D102" s="110" t="s">
        <v>687</v>
      </c>
      <c r="E102" s="109" t="s">
        <v>172</v>
      </c>
      <c r="F102" s="111" t="s">
        <v>9</v>
      </c>
      <c r="G102" s="112" t="s">
        <v>127</v>
      </c>
      <c r="H102" s="112" t="s">
        <v>541</v>
      </c>
      <c r="I102" s="112" t="s">
        <v>141</v>
      </c>
      <c r="J102" s="112" t="s">
        <v>547</v>
      </c>
      <c r="K102" s="224"/>
      <c r="L102" s="228"/>
      <c r="M102" s="228"/>
      <c r="N102" s="228"/>
      <c r="O102" s="228"/>
      <c r="P102" s="228"/>
      <c r="Q102" s="221"/>
      <c r="R102" s="123">
        <v>3.3</v>
      </c>
      <c r="S102" s="432">
        <f>ROUND(2/2,1)</f>
        <v>1</v>
      </c>
      <c r="T102" s="432">
        <f>ROUND(2/2,1)</f>
        <v>1</v>
      </c>
      <c r="U102" s="432">
        <f>ROUND(6.6/8,1)</f>
        <v>0.8</v>
      </c>
      <c r="V102" s="432">
        <f t="shared" ref="V102:AA102" si="199">ROUND(6.6/8,1)</f>
        <v>0.8</v>
      </c>
      <c r="W102" s="432">
        <f t="shared" si="199"/>
        <v>0.8</v>
      </c>
      <c r="X102" s="432">
        <f t="shared" si="199"/>
        <v>0.8</v>
      </c>
      <c r="Y102" s="432">
        <f t="shared" si="199"/>
        <v>0.8</v>
      </c>
      <c r="Z102" s="432">
        <f t="shared" si="199"/>
        <v>0.8</v>
      </c>
      <c r="AA102" s="432">
        <f t="shared" si="199"/>
        <v>0.8</v>
      </c>
      <c r="AB102" s="432">
        <f>ROUND(6.6/8,1)+0.4</f>
        <v>1.2000000000000002</v>
      </c>
      <c r="AC102" s="432">
        <f>ROUND(-0.5/6,1)</f>
        <v>-0.1</v>
      </c>
      <c r="AD102" s="432">
        <f t="shared" ref="AD102:AG102" si="200">ROUND(-0.5/6,1)</f>
        <v>-0.1</v>
      </c>
      <c r="AE102" s="432">
        <f t="shared" si="200"/>
        <v>-0.1</v>
      </c>
      <c r="AF102" s="432">
        <f t="shared" si="200"/>
        <v>-0.1</v>
      </c>
      <c r="AG102" s="432">
        <f t="shared" si="200"/>
        <v>-0.1</v>
      </c>
      <c r="AH102" s="432">
        <f>ROUND(-0.5/6,1)+0.1</f>
        <v>0</v>
      </c>
      <c r="AI102" s="432">
        <f>ROUND(24.1/8,1)</f>
        <v>3</v>
      </c>
      <c r="AJ102" s="432">
        <f t="shared" ref="AJ102:AO102" si="201">ROUND(24.1/8,1)</f>
        <v>3</v>
      </c>
      <c r="AK102" s="432">
        <f t="shared" si="201"/>
        <v>3</v>
      </c>
      <c r="AL102" s="432">
        <f t="shared" si="201"/>
        <v>3</v>
      </c>
      <c r="AM102" s="432">
        <f t="shared" si="201"/>
        <v>3</v>
      </c>
      <c r="AN102" s="432">
        <f t="shared" si="201"/>
        <v>3</v>
      </c>
      <c r="AO102" s="432">
        <f t="shared" si="201"/>
        <v>3</v>
      </c>
      <c r="AP102" s="432">
        <f>ROUND(24.1/8,1)+0.1</f>
        <v>3.1</v>
      </c>
      <c r="AQ102" s="432">
        <f>ROUND(-7.8/6,1)</f>
        <v>-1.3</v>
      </c>
      <c r="AR102" s="432">
        <f t="shared" ref="AR102:AV102" si="202">ROUND(-7.8/6,1)</f>
        <v>-1.3</v>
      </c>
      <c r="AS102" s="432">
        <f t="shared" si="202"/>
        <v>-1.3</v>
      </c>
      <c r="AT102" s="432">
        <f t="shared" si="202"/>
        <v>-1.3</v>
      </c>
      <c r="AU102" s="432">
        <f t="shared" si="202"/>
        <v>-1.3</v>
      </c>
      <c r="AV102" s="432">
        <f t="shared" si="202"/>
        <v>-1.3</v>
      </c>
      <c r="AW102" s="432">
        <f>ROUND(2.8/5,1)</f>
        <v>0.6</v>
      </c>
      <c r="AX102" s="432">
        <f t="shared" ref="AX102:AZ102" si="203">ROUND(2.8/5,1)</f>
        <v>0.6</v>
      </c>
      <c r="AY102" s="432">
        <f t="shared" si="203"/>
        <v>0.6</v>
      </c>
      <c r="AZ102" s="432">
        <f t="shared" si="203"/>
        <v>0.6</v>
      </c>
      <c r="BA102" s="432">
        <f>ROUND(2.8/5,1)-0.2</f>
        <v>0.39999999999999997</v>
      </c>
      <c r="BB102" s="121">
        <v>0.3</v>
      </c>
      <c r="BC102" s="122"/>
      <c r="BD102" s="122" t="s">
        <v>247</v>
      </c>
      <c r="BE102" s="142" t="s">
        <v>247</v>
      </c>
      <c r="BF102" s="379"/>
      <c r="BG102" s="368"/>
      <c r="BH102" s="333" t="str">
        <f ca="1">INDIRECT(ADDRESS(MATCH($B102,'【別紙1】標高（入力）'!$B:$B,0),'【別紙1】標高（入力）'!$N$2,4,TRUE,"【別紙1】標高（入力）"))</f>
        <v>R4</v>
      </c>
      <c r="BI102" s="340">
        <f ca="1">INDIRECT(ADDRESS(MATCH($B102,'【別紙1】標高（入力）'!$B:$B,0),'【別紙1】標高（入力）'!$O$2,4,TRUE,"【別紙1】標高（入力）"))</f>
        <v>82.771199999999993</v>
      </c>
      <c r="BJ102" s="392"/>
    </row>
    <row r="103" spans="1:62" s="231" customFormat="1" ht="15.95" customHeight="1">
      <c r="A103" s="214">
        <v>601</v>
      </c>
      <c r="B103" s="215" t="s">
        <v>491</v>
      </c>
      <c r="C103" s="216" t="s">
        <v>180</v>
      </c>
      <c r="D103" s="217" t="s">
        <v>640</v>
      </c>
      <c r="E103" s="218" t="s">
        <v>181</v>
      </c>
      <c r="F103" s="219" t="s">
        <v>9</v>
      </c>
      <c r="G103" s="220" t="s">
        <v>127</v>
      </c>
      <c r="H103" s="220" t="s">
        <v>541</v>
      </c>
      <c r="I103" s="220" t="s">
        <v>141</v>
      </c>
      <c r="J103" s="220" t="s">
        <v>547</v>
      </c>
      <c r="K103" s="224"/>
      <c r="L103" s="228"/>
      <c r="M103" s="228"/>
      <c r="N103" s="228"/>
      <c r="O103" s="228"/>
      <c r="P103" s="228"/>
      <c r="Q103" s="221"/>
      <c r="R103" s="123">
        <v>1.5</v>
      </c>
      <c r="S103" s="432">
        <f>ROUND(-0.2/2,1)</f>
        <v>-0.1</v>
      </c>
      <c r="T103" s="432">
        <f>ROUND(-0.2/2,1)</f>
        <v>-0.1</v>
      </c>
      <c r="U103" s="432">
        <f>ROUND(4/8,1)</f>
        <v>0.5</v>
      </c>
      <c r="V103" s="432">
        <f t="shared" ref="V103:AB103" si="204">ROUND(4/8,1)</f>
        <v>0.5</v>
      </c>
      <c r="W103" s="432">
        <f t="shared" si="204"/>
        <v>0.5</v>
      </c>
      <c r="X103" s="432">
        <f t="shared" si="204"/>
        <v>0.5</v>
      </c>
      <c r="Y103" s="432">
        <f t="shared" si="204"/>
        <v>0.5</v>
      </c>
      <c r="Z103" s="432">
        <f t="shared" si="204"/>
        <v>0.5</v>
      </c>
      <c r="AA103" s="432">
        <f t="shared" si="204"/>
        <v>0.5</v>
      </c>
      <c r="AB103" s="432">
        <f t="shared" si="204"/>
        <v>0.5</v>
      </c>
      <c r="AC103" s="232" t="s">
        <v>1272</v>
      </c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30"/>
      <c r="BF103" s="387"/>
      <c r="BG103" s="386"/>
      <c r="BH103" s="336" t="s">
        <v>529</v>
      </c>
      <c r="BI103" s="344" t="s">
        <v>1189</v>
      </c>
      <c r="BJ103" s="393" t="s">
        <v>727</v>
      </c>
    </row>
    <row r="104" spans="1:62" ht="15.95" customHeight="1">
      <c r="A104" s="119">
        <v>602</v>
      </c>
      <c r="B104" s="107" t="s">
        <v>1191</v>
      </c>
      <c r="C104" s="114" t="s">
        <v>180</v>
      </c>
      <c r="D104" s="110" t="s">
        <v>647</v>
      </c>
      <c r="E104" s="109" t="s">
        <v>183</v>
      </c>
      <c r="F104" s="111" t="s">
        <v>12</v>
      </c>
      <c r="G104" s="112" t="s">
        <v>31</v>
      </c>
      <c r="H104" s="112" t="s">
        <v>541</v>
      </c>
      <c r="I104" s="112" t="s">
        <v>315</v>
      </c>
      <c r="J104" s="112" t="s">
        <v>263</v>
      </c>
      <c r="K104" s="224"/>
      <c r="L104" s="228"/>
      <c r="M104" s="228"/>
      <c r="N104" s="228"/>
      <c r="O104" s="228"/>
      <c r="P104" s="221"/>
      <c r="Q104" s="124">
        <v>6.4</v>
      </c>
      <c r="R104" s="123">
        <v>0.4</v>
      </c>
      <c r="S104" s="432">
        <f>ROUND(0.7/2,1)</f>
        <v>0.4</v>
      </c>
      <c r="T104" s="432">
        <f>ROUND(0.7/2,1)-0.1</f>
        <v>0.30000000000000004</v>
      </c>
      <c r="U104" s="432">
        <f>ROUND(0/8,1)</f>
        <v>0</v>
      </c>
      <c r="V104" s="432">
        <f t="shared" ref="V104:AB104" si="205">ROUND(0/8,1)</f>
        <v>0</v>
      </c>
      <c r="W104" s="432">
        <f t="shared" si="205"/>
        <v>0</v>
      </c>
      <c r="X104" s="432">
        <f t="shared" si="205"/>
        <v>0</v>
      </c>
      <c r="Y104" s="432">
        <f t="shared" si="205"/>
        <v>0</v>
      </c>
      <c r="Z104" s="432">
        <f t="shared" si="205"/>
        <v>0</v>
      </c>
      <c r="AA104" s="432">
        <f t="shared" si="205"/>
        <v>0</v>
      </c>
      <c r="AB104" s="432">
        <f t="shared" si="205"/>
        <v>0</v>
      </c>
      <c r="AC104" s="432">
        <f>ROUND(2.2/6,1)</f>
        <v>0.4</v>
      </c>
      <c r="AD104" s="432">
        <f t="shared" ref="AD104:AG104" si="206">ROUND(2.2/6,1)</f>
        <v>0.4</v>
      </c>
      <c r="AE104" s="432">
        <f t="shared" si="206"/>
        <v>0.4</v>
      </c>
      <c r="AF104" s="432">
        <f t="shared" si="206"/>
        <v>0.4</v>
      </c>
      <c r="AG104" s="432">
        <f t="shared" si="206"/>
        <v>0.4</v>
      </c>
      <c r="AH104" s="432">
        <f>ROUND(2.2/6,1)-0.2</f>
        <v>0.2</v>
      </c>
      <c r="AI104" s="432">
        <f>ROUND(11.5/8,1)</f>
        <v>1.4</v>
      </c>
      <c r="AJ104" s="432">
        <f t="shared" ref="AJ104:AO104" si="207">ROUND(11.5/8,1)</f>
        <v>1.4</v>
      </c>
      <c r="AK104" s="432">
        <f t="shared" si="207"/>
        <v>1.4</v>
      </c>
      <c r="AL104" s="432">
        <f t="shared" si="207"/>
        <v>1.4</v>
      </c>
      <c r="AM104" s="432">
        <f t="shared" si="207"/>
        <v>1.4</v>
      </c>
      <c r="AN104" s="432">
        <f t="shared" si="207"/>
        <v>1.4</v>
      </c>
      <c r="AO104" s="432">
        <f t="shared" si="207"/>
        <v>1.4</v>
      </c>
      <c r="AP104" s="432">
        <f>ROUND(11.5/8,1)-0.3</f>
        <v>1.0999999999999999</v>
      </c>
      <c r="AQ104" s="432">
        <f>ROUND(-2.4/6,1)</f>
        <v>-0.4</v>
      </c>
      <c r="AR104" s="432">
        <f t="shared" ref="AR104:AV104" si="208">ROUND(-2.4/6,1)</f>
        <v>-0.4</v>
      </c>
      <c r="AS104" s="432">
        <f t="shared" si="208"/>
        <v>-0.4</v>
      </c>
      <c r="AT104" s="432">
        <f t="shared" si="208"/>
        <v>-0.4</v>
      </c>
      <c r="AU104" s="432">
        <f t="shared" si="208"/>
        <v>-0.4</v>
      </c>
      <c r="AV104" s="432">
        <f t="shared" si="208"/>
        <v>-0.4</v>
      </c>
      <c r="AW104" s="432">
        <f>ROUND(1.3/6,1)</f>
        <v>0.2</v>
      </c>
      <c r="AX104" s="432">
        <f t="shared" ref="AX104:BA104" si="209">ROUND(1.3/6,1)</f>
        <v>0.2</v>
      </c>
      <c r="AY104" s="432">
        <f t="shared" si="209"/>
        <v>0.2</v>
      </c>
      <c r="AZ104" s="432">
        <f t="shared" si="209"/>
        <v>0.2</v>
      </c>
      <c r="BA104" s="432">
        <f t="shared" si="209"/>
        <v>0.2</v>
      </c>
      <c r="BB104" s="432">
        <f>ROUND(1.3/6,1)+0.1</f>
        <v>0.30000000000000004</v>
      </c>
      <c r="BC104" s="122"/>
      <c r="BD104" s="122" t="s">
        <v>247</v>
      </c>
      <c r="BE104" s="142" t="s">
        <v>247</v>
      </c>
      <c r="BF104" s="379"/>
      <c r="BG104" s="368"/>
      <c r="BH104" s="333" t="e">
        <f ca="1">INDIRECT(ADDRESS(MATCH($B104,'【別紙1】標高（入力）'!$B:$B,0),'【別紙1】標高（入力）'!$N$2,4,TRUE,"【別紙1】標高（入力）"))</f>
        <v>#N/A</v>
      </c>
      <c r="BI104" s="340" t="e">
        <f ca="1">INDIRECT(ADDRESS(MATCH($B104,'【別紙1】標高（入力）'!$B:$B,0),'【別紙1】標高（入力）'!$O$2,4,TRUE,"【別紙1】標高（入力）"))</f>
        <v>#N/A</v>
      </c>
      <c r="BJ104" s="392"/>
    </row>
    <row r="105" spans="1:62" ht="15.95" customHeight="1">
      <c r="A105" s="119">
        <v>603</v>
      </c>
      <c r="B105" s="107" t="s">
        <v>1192</v>
      </c>
      <c r="C105" s="114" t="s">
        <v>180</v>
      </c>
      <c r="D105" s="110" t="s">
        <v>340</v>
      </c>
      <c r="E105" s="109" t="s">
        <v>185</v>
      </c>
      <c r="F105" s="111" t="s">
        <v>12</v>
      </c>
      <c r="G105" s="112" t="s">
        <v>31</v>
      </c>
      <c r="H105" s="112" t="s">
        <v>541</v>
      </c>
      <c r="I105" s="112" t="s">
        <v>284</v>
      </c>
      <c r="J105" s="112" t="s">
        <v>263</v>
      </c>
      <c r="K105" s="224"/>
      <c r="L105" s="228"/>
      <c r="M105" s="228"/>
      <c r="N105" s="228"/>
      <c r="O105" s="228"/>
      <c r="P105" s="221"/>
      <c r="Q105" s="124">
        <v>6</v>
      </c>
      <c r="R105" s="123">
        <v>-2.7</v>
      </c>
      <c r="S105" s="432">
        <f>ROUND(-0.4/2,1)</f>
        <v>-0.2</v>
      </c>
      <c r="T105" s="432">
        <f>ROUND(-0.4/2,1)</f>
        <v>-0.2</v>
      </c>
      <c r="U105" s="432">
        <f>ROUND(1.4/8,1)</f>
        <v>0.2</v>
      </c>
      <c r="V105" s="432">
        <f t="shared" ref="V105:AA105" si="210">ROUND(1.4/8,1)</f>
        <v>0.2</v>
      </c>
      <c r="W105" s="432">
        <f t="shared" si="210"/>
        <v>0.2</v>
      </c>
      <c r="X105" s="432">
        <f t="shared" si="210"/>
        <v>0.2</v>
      </c>
      <c r="Y105" s="432">
        <f t="shared" si="210"/>
        <v>0.2</v>
      </c>
      <c r="Z105" s="432">
        <f t="shared" si="210"/>
        <v>0.2</v>
      </c>
      <c r="AA105" s="432">
        <f t="shared" si="210"/>
        <v>0.2</v>
      </c>
      <c r="AB105" s="432">
        <f>ROUND(1.4/8,1)-0.2</f>
        <v>0</v>
      </c>
      <c r="AC105" s="432">
        <f>ROUND(0.1/6,1)</f>
        <v>0</v>
      </c>
      <c r="AD105" s="432">
        <f t="shared" ref="AD105:AG105" si="211">ROUND(0.1/6,1)</f>
        <v>0</v>
      </c>
      <c r="AE105" s="432">
        <f t="shared" si="211"/>
        <v>0</v>
      </c>
      <c r="AF105" s="432">
        <f t="shared" si="211"/>
        <v>0</v>
      </c>
      <c r="AG105" s="432">
        <f t="shared" si="211"/>
        <v>0</v>
      </c>
      <c r="AH105" s="432">
        <f>ROUND(0.1/6,1)+0.1</f>
        <v>0.1</v>
      </c>
      <c r="AI105" s="432">
        <f>ROUND(11.3/8,1)</f>
        <v>1.4</v>
      </c>
      <c r="AJ105" s="432">
        <f t="shared" ref="AJ105:AO105" si="212">ROUND(11.3/8,1)</f>
        <v>1.4</v>
      </c>
      <c r="AK105" s="432">
        <f t="shared" si="212"/>
        <v>1.4</v>
      </c>
      <c r="AL105" s="432">
        <f t="shared" si="212"/>
        <v>1.4</v>
      </c>
      <c r="AM105" s="432">
        <f t="shared" si="212"/>
        <v>1.4</v>
      </c>
      <c r="AN105" s="432">
        <f t="shared" si="212"/>
        <v>1.4</v>
      </c>
      <c r="AO105" s="432">
        <f t="shared" si="212"/>
        <v>1.4</v>
      </c>
      <c r="AP105" s="432">
        <f>ROUND(11.3/8,1)+0.1</f>
        <v>1.5</v>
      </c>
      <c r="AQ105" s="432">
        <f>ROUND(-3/6,1)</f>
        <v>-0.5</v>
      </c>
      <c r="AR105" s="432">
        <f t="shared" ref="AR105:AV105" si="213">ROUND(-3/6,1)</f>
        <v>-0.5</v>
      </c>
      <c r="AS105" s="432">
        <f t="shared" si="213"/>
        <v>-0.5</v>
      </c>
      <c r="AT105" s="432">
        <f t="shared" si="213"/>
        <v>-0.5</v>
      </c>
      <c r="AU105" s="432">
        <f t="shared" si="213"/>
        <v>-0.5</v>
      </c>
      <c r="AV105" s="432">
        <f t="shared" si="213"/>
        <v>-0.5</v>
      </c>
      <c r="AW105" s="432">
        <f>ROUND(1.6/6,1)</f>
        <v>0.3</v>
      </c>
      <c r="AX105" s="432">
        <f t="shared" ref="AX105:BA105" si="214">ROUND(1.6/6,1)</f>
        <v>0.3</v>
      </c>
      <c r="AY105" s="432">
        <f t="shared" si="214"/>
        <v>0.3</v>
      </c>
      <c r="AZ105" s="432">
        <f t="shared" si="214"/>
        <v>0.3</v>
      </c>
      <c r="BA105" s="432">
        <f t="shared" si="214"/>
        <v>0.3</v>
      </c>
      <c r="BB105" s="432">
        <f>ROUND(1.6/6,1)-0.2</f>
        <v>9.9999999999999978E-2</v>
      </c>
      <c r="BC105" s="122"/>
      <c r="BD105" s="122" t="s">
        <v>247</v>
      </c>
      <c r="BE105" s="142" t="s">
        <v>247</v>
      </c>
      <c r="BF105" s="379"/>
      <c r="BG105" s="368"/>
      <c r="BH105" s="333" t="e">
        <f ca="1">INDIRECT(ADDRESS(MATCH($B105,'【別紙1】標高（入力）'!$B:$B,0),'【別紙1】標高（入力）'!$N$2,4,TRUE,"【別紙1】標高（入力）"))</f>
        <v>#N/A</v>
      </c>
      <c r="BI105" s="340" t="e">
        <f ca="1">INDIRECT(ADDRESS(MATCH($B105,'【別紙1】標高（入力）'!$B:$B,0),'【別紙1】標高（入力）'!$O$2,4,TRUE,"【別紙1】標高（入力）"))</f>
        <v>#N/A</v>
      </c>
      <c r="BJ105" s="392"/>
    </row>
    <row r="106" spans="1:62" ht="15.95" customHeight="1">
      <c r="A106" s="119">
        <v>701</v>
      </c>
      <c r="B106" s="107" t="s">
        <v>366</v>
      </c>
      <c r="C106" s="114" t="s">
        <v>186</v>
      </c>
      <c r="D106" s="110" t="s">
        <v>701</v>
      </c>
      <c r="E106" s="109" t="s">
        <v>187</v>
      </c>
      <c r="F106" s="111" t="s">
        <v>9</v>
      </c>
      <c r="G106" s="112" t="s">
        <v>19</v>
      </c>
      <c r="H106" s="112" t="s">
        <v>541</v>
      </c>
      <c r="I106" s="112" t="s">
        <v>284</v>
      </c>
      <c r="J106" s="112" t="s">
        <v>263</v>
      </c>
      <c r="K106" s="222"/>
      <c r="L106" s="124">
        <v>11</v>
      </c>
      <c r="M106" s="124">
        <v>8.5</v>
      </c>
      <c r="N106" s="123">
        <v>3.9</v>
      </c>
      <c r="O106" s="432">
        <f>ROUND(18/2,1)</f>
        <v>9</v>
      </c>
      <c r="P106" s="432">
        <f>ROUND(18/2,1)</f>
        <v>9</v>
      </c>
      <c r="Q106" s="127">
        <v>10.1</v>
      </c>
      <c r="R106" s="124">
        <v>7.9</v>
      </c>
      <c r="S106" s="124">
        <v>-5.9</v>
      </c>
      <c r="T106" s="124">
        <v>6.6</v>
      </c>
      <c r="U106" s="124">
        <v>4.4000000000000004</v>
      </c>
      <c r="V106" s="124">
        <v>2.4</v>
      </c>
      <c r="W106" s="124">
        <v>5</v>
      </c>
      <c r="X106" s="124">
        <v>1.5</v>
      </c>
      <c r="Y106" s="124">
        <v>-4.8</v>
      </c>
      <c r="Z106" s="124">
        <v>6.4</v>
      </c>
      <c r="AA106" s="124">
        <v>4.3</v>
      </c>
      <c r="AB106" s="124">
        <v>1.6</v>
      </c>
      <c r="AC106" s="124">
        <v>5.7</v>
      </c>
      <c r="AD106" s="124">
        <v>0.7</v>
      </c>
      <c r="AE106" s="124">
        <v>-3.4</v>
      </c>
      <c r="AF106" s="124">
        <v>2.8</v>
      </c>
      <c r="AG106" s="124">
        <v>4.5999999999999996</v>
      </c>
      <c r="AH106" s="123">
        <v>13</v>
      </c>
      <c r="AI106" s="396">
        <v>9</v>
      </c>
      <c r="AJ106" s="124">
        <v>-4.4000000000000004</v>
      </c>
      <c r="AK106" s="124">
        <v>2</v>
      </c>
      <c r="AL106" s="123">
        <v>-0.4</v>
      </c>
      <c r="AM106" s="123">
        <v>3.70000000000026</v>
      </c>
      <c r="AN106" s="123">
        <v>-3.2</v>
      </c>
      <c r="AO106" s="432">
        <f>ROUND(9.1/2,1)</f>
        <v>4.5999999999999996</v>
      </c>
      <c r="AP106" s="432">
        <f>ROUND(9.1/2,1)-0.1</f>
        <v>4.5</v>
      </c>
      <c r="AQ106" s="122">
        <v>1.2</v>
      </c>
      <c r="AR106" s="125">
        <v>3.9</v>
      </c>
      <c r="AS106" s="125">
        <v>1.8</v>
      </c>
      <c r="AT106" s="125">
        <v>3.6</v>
      </c>
      <c r="AU106" s="126">
        <v>-0.1</v>
      </c>
      <c r="AV106" s="121">
        <v>-2.1</v>
      </c>
      <c r="AW106" s="122">
        <v>-1.9</v>
      </c>
      <c r="AX106" s="125">
        <v>1.8</v>
      </c>
      <c r="AY106" s="125">
        <v>0.3</v>
      </c>
      <c r="AZ106" s="132">
        <v>0</v>
      </c>
      <c r="BA106" s="133">
        <v>-1.7</v>
      </c>
      <c r="BB106" s="432">
        <f>ROUND(0.3/2,1)</f>
        <v>0.2</v>
      </c>
      <c r="BC106" s="432">
        <f>ROUND(0.3/2,1)-0.1</f>
        <v>0.1</v>
      </c>
      <c r="BD106" s="133">
        <v>-0.29999999999930083</v>
      </c>
      <c r="BE106" s="391">
        <v>3.1999999999996476</v>
      </c>
      <c r="BF106" s="383"/>
      <c r="BG106" s="369"/>
      <c r="BH106" s="333" t="str">
        <f ca="1">INDIRECT(ADDRESS(MATCH($B106,'【別紙1】標高（入力）'!$B:$B,0),'【別紙1】標高（入力）'!$N$2,4,TRUE,"【別紙1】標高（入力）"))</f>
        <v>R5</v>
      </c>
      <c r="BI106" s="342">
        <f ca="1">INDIRECT(ADDRESS(MATCH($B106,'【別紙1】標高（入力）'!$B:$B,0),'【別紙1】標高（入力）'!$O$2,4,TRUE,"【別紙1】標高（入力）"))</f>
        <v>10.551</v>
      </c>
      <c r="BJ106" s="392"/>
    </row>
    <row r="107" spans="1:62" ht="15.95" customHeight="1">
      <c r="A107" s="119">
        <v>702</v>
      </c>
      <c r="B107" s="107" t="s">
        <v>364</v>
      </c>
      <c r="C107" s="114" t="s">
        <v>186</v>
      </c>
      <c r="D107" s="110" t="s">
        <v>561</v>
      </c>
      <c r="E107" s="109" t="s">
        <v>282</v>
      </c>
      <c r="F107" s="111" t="s">
        <v>9</v>
      </c>
      <c r="G107" s="112" t="s">
        <v>19</v>
      </c>
      <c r="H107" s="112" t="s">
        <v>541</v>
      </c>
      <c r="I107" s="112" t="s">
        <v>54</v>
      </c>
      <c r="J107" s="112" t="s">
        <v>264</v>
      </c>
      <c r="K107" s="222"/>
      <c r="L107" s="124">
        <v>6.5</v>
      </c>
      <c r="M107" s="124">
        <v>5.6</v>
      </c>
      <c r="N107" s="123">
        <v>1.6</v>
      </c>
      <c r="O107" s="432">
        <f>ROUND(27.6/2,1)</f>
        <v>13.8</v>
      </c>
      <c r="P107" s="432">
        <f>ROUND(27.6/2,1)</f>
        <v>13.8</v>
      </c>
      <c r="Q107" s="127">
        <v>8</v>
      </c>
      <c r="R107" s="124">
        <v>5.8</v>
      </c>
      <c r="S107" s="124">
        <v>-9.6</v>
      </c>
      <c r="T107" s="124">
        <v>11.1</v>
      </c>
      <c r="U107" s="124">
        <v>5</v>
      </c>
      <c r="V107" s="124">
        <v>10.1</v>
      </c>
      <c r="W107" s="124">
        <v>4.3</v>
      </c>
      <c r="X107" s="124">
        <v>2.4</v>
      </c>
      <c r="Y107" s="124">
        <v>-3.9</v>
      </c>
      <c r="Z107" s="124">
        <v>4.7</v>
      </c>
      <c r="AA107" s="124">
        <v>6.2</v>
      </c>
      <c r="AB107" s="124">
        <v>-3.7</v>
      </c>
      <c r="AC107" s="124">
        <v>8.9</v>
      </c>
      <c r="AD107" s="124">
        <v>-1.3</v>
      </c>
      <c r="AE107" s="124">
        <v>-1.5</v>
      </c>
      <c r="AF107" s="124">
        <v>2</v>
      </c>
      <c r="AG107" s="124">
        <v>4.0999999999999996</v>
      </c>
      <c r="AH107" s="123">
        <v>1.8</v>
      </c>
      <c r="AI107" s="396">
        <v>5.7</v>
      </c>
      <c r="AJ107" s="124">
        <v>5.7</v>
      </c>
      <c r="AK107" s="124">
        <v>10.4</v>
      </c>
      <c r="AL107" s="123">
        <v>0.6</v>
      </c>
      <c r="AM107" s="123">
        <v>3.9999999999995599</v>
      </c>
      <c r="AN107" s="128">
        <v>-3.7</v>
      </c>
      <c r="AO107" s="122">
        <v>4</v>
      </c>
      <c r="AP107" s="126">
        <v>9.6</v>
      </c>
      <c r="AQ107" s="122">
        <v>2</v>
      </c>
      <c r="AR107" s="125">
        <v>6.9</v>
      </c>
      <c r="AS107" s="125">
        <v>-1.2</v>
      </c>
      <c r="AT107" s="125">
        <v>3.5</v>
      </c>
      <c r="AU107" s="126">
        <v>-0.1</v>
      </c>
      <c r="AV107" s="121">
        <v>-2.2000000000000002</v>
      </c>
      <c r="AW107" s="125">
        <v>1</v>
      </c>
      <c r="AX107" s="125">
        <v>2.5</v>
      </c>
      <c r="AY107" s="125">
        <v>-0.9</v>
      </c>
      <c r="AZ107" s="132">
        <v>2.2000000000000002</v>
      </c>
      <c r="BA107" s="133">
        <v>-4.9000000000000004</v>
      </c>
      <c r="BB107" s="132">
        <v>0.4</v>
      </c>
      <c r="BC107" s="134">
        <v>0.2</v>
      </c>
      <c r="BD107" s="133">
        <v>-0.39999999999995595</v>
      </c>
      <c r="BE107" s="391">
        <v>0.19999999999953388</v>
      </c>
      <c r="BF107" s="383"/>
      <c r="BG107" s="369"/>
      <c r="BH107" s="333" t="str">
        <f ca="1">INDIRECT(ADDRESS(MATCH($B107,'【別紙1】標高（入力）'!$B:$B,0),'【別紙1】標高（入力）'!$N$2,4,TRUE,"【別紙1】標高（入力）"))</f>
        <v>R5</v>
      </c>
      <c r="BI107" s="342">
        <f ca="1">INDIRECT(ADDRESS(MATCH($B107,'【別紙1】標高（入力）'!$B:$B,0),'【別紙1】標高（入力）'!$O$2,4,TRUE,"【別紙1】標高（入力）"))</f>
        <v>6.31</v>
      </c>
      <c r="BJ107" s="392" t="s">
        <v>283</v>
      </c>
    </row>
    <row r="108" spans="1:62" s="231" customFormat="1" ht="15.95" customHeight="1">
      <c r="A108" s="214">
        <v>703</v>
      </c>
      <c r="B108" s="215" t="s">
        <v>395</v>
      </c>
      <c r="C108" s="216" t="s">
        <v>186</v>
      </c>
      <c r="D108" s="217" t="s">
        <v>671</v>
      </c>
      <c r="E108" s="218" t="s">
        <v>299</v>
      </c>
      <c r="F108" s="219" t="s">
        <v>12</v>
      </c>
      <c r="G108" s="220" t="s">
        <v>19</v>
      </c>
      <c r="H108" s="220" t="s">
        <v>541</v>
      </c>
      <c r="I108" s="220" t="s">
        <v>539</v>
      </c>
      <c r="J108" s="220" t="s">
        <v>263</v>
      </c>
      <c r="K108" s="222"/>
      <c r="L108" s="124">
        <v>2.2000000000000002</v>
      </c>
      <c r="M108" s="124">
        <v>4</v>
      </c>
      <c r="N108" s="124">
        <v>-3.2</v>
      </c>
      <c r="O108" s="124">
        <v>6.6</v>
      </c>
      <c r="P108" s="124">
        <v>1.1000000000000001</v>
      </c>
      <c r="Q108" s="124">
        <v>0.9</v>
      </c>
      <c r="R108" s="124">
        <v>3</v>
      </c>
      <c r="S108" s="124">
        <v>-3.9</v>
      </c>
      <c r="T108" s="124">
        <v>2.5</v>
      </c>
      <c r="U108" s="124">
        <v>-0.5</v>
      </c>
      <c r="V108" s="124">
        <v>3.2</v>
      </c>
      <c r="W108" s="124">
        <v>1.2</v>
      </c>
      <c r="X108" s="124">
        <v>0</v>
      </c>
      <c r="Y108" s="124">
        <v>-4.5999999999999996</v>
      </c>
      <c r="Z108" s="124">
        <v>5.2</v>
      </c>
      <c r="AA108" s="124">
        <v>1.7</v>
      </c>
      <c r="AB108" s="124">
        <v>0</v>
      </c>
      <c r="AC108" s="124">
        <v>2.4</v>
      </c>
      <c r="AD108" s="124">
        <v>-1.2</v>
      </c>
      <c r="AE108" s="124">
        <v>-2.1</v>
      </c>
      <c r="AF108" s="124">
        <v>0.8</v>
      </c>
      <c r="AG108" s="124">
        <v>1.4</v>
      </c>
      <c r="AH108" s="123">
        <v>1.9</v>
      </c>
      <c r="AI108" s="227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30"/>
      <c r="BF108" s="387"/>
      <c r="BG108" s="386"/>
      <c r="BH108" s="336" t="s">
        <v>529</v>
      </c>
      <c r="BI108" s="344" t="s">
        <v>1189</v>
      </c>
      <c r="BJ108" s="393" t="s">
        <v>728</v>
      </c>
    </row>
    <row r="109" spans="1:62" ht="15.95" customHeight="1">
      <c r="A109" s="119">
        <v>704</v>
      </c>
      <c r="B109" s="107" t="s">
        <v>394</v>
      </c>
      <c r="C109" s="114" t="s">
        <v>186</v>
      </c>
      <c r="D109" s="110" t="s">
        <v>648</v>
      </c>
      <c r="E109" s="109" t="s">
        <v>188</v>
      </c>
      <c r="F109" s="111" t="s">
        <v>12</v>
      </c>
      <c r="G109" s="112" t="s">
        <v>19</v>
      </c>
      <c r="H109" s="112" t="s">
        <v>541</v>
      </c>
      <c r="I109" s="112" t="s">
        <v>310</v>
      </c>
      <c r="J109" s="112" t="s">
        <v>263</v>
      </c>
      <c r="K109" s="222"/>
      <c r="L109" s="124">
        <v>9.9</v>
      </c>
      <c r="M109" s="124">
        <v>1.5</v>
      </c>
      <c r="N109" s="124">
        <v>-0.1</v>
      </c>
      <c r="O109" s="124">
        <v>0.8</v>
      </c>
      <c r="P109" s="124">
        <v>4.0999999999999996</v>
      </c>
      <c r="Q109" s="124">
        <v>0.8</v>
      </c>
      <c r="R109" s="124">
        <v>2.2999999999999998</v>
      </c>
      <c r="S109" s="124">
        <v>-3.7</v>
      </c>
      <c r="T109" s="124">
        <v>2.2999999999999998</v>
      </c>
      <c r="U109" s="124">
        <v>-0.2</v>
      </c>
      <c r="V109" s="124">
        <v>-0.3</v>
      </c>
      <c r="W109" s="124">
        <v>1.3</v>
      </c>
      <c r="X109" s="124">
        <v>1.2</v>
      </c>
      <c r="Y109" s="124">
        <v>-1.8</v>
      </c>
      <c r="Z109" s="124">
        <v>3.4</v>
      </c>
      <c r="AA109" s="124">
        <v>-1.7</v>
      </c>
      <c r="AB109" s="124">
        <v>0.8</v>
      </c>
      <c r="AC109" s="124">
        <v>1.5</v>
      </c>
      <c r="AD109" s="124">
        <v>-0.5</v>
      </c>
      <c r="AE109" s="124">
        <v>2</v>
      </c>
      <c r="AF109" s="124">
        <v>-0.1</v>
      </c>
      <c r="AG109" s="124">
        <v>0.3</v>
      </c>
      <c r="AH109" s="123">
        <v>2</v>
      </c>
      <c r="AI109" s="396">
        <v>2.5</v>
      </c>
      <c r="AJ109" s="124">
        <v>-2.5</v>
      </c>
      <c r="AK109" s="124">
        <v>2</v>
      </c>
      <c r="AL109" s="123">
        <v>-0.3</v>
      </c>
      <c r="AM109" s="123">
        <v>1.1999999999972</v>
      </c>
      <c r="AN109" s="128">
        <v>-1.1000000000000001</v>
      </c>
      <c r="AO109" s="122">
        <v>1.3</v>
      </c>
      <c r="AP109" s="126">
        <v>1.9</v>
      </c>
      <c r="AQ109" s="122">
        <v>1.6</v>
      </c>
      <c r="AR109" s="125">
        <v>1.9</v>
      </c>
      <c r="AS109" s="125">
        <v>-2.6</v>
      </c>
      <c r="AT109" s="125">
        <v>2.1</v>
      </c>
      <c r="AU109" s="126">
        <v>-2.8</v>
      </c>
      <c r="AV109" s="121">
        <v>0.2</v>
      </c>
      <c r="AW109" s="125">
        <v>-0.4</v>
      </c>
      <c r="AX109" s="125">
        <v>0.7</v>
      </c>
      <c r="AY109" s="125">
        <v>-1.2</v>
      </c>
      <c r="AZ109" s="132">
        <v>1.2</v>
      </c>
      <c r="BA109" s="133">
        <v>1</v>
      </c>
      <c r="BB109" s="132">
        <v>-0.5</v>
      </c>
      <c r="BC109" s="134">
        <v>0</v>
      </c>
      <c r="BD109" s="133">
        <v>-0.39999999999906777</v>
      </c>
      <c r="BE109" s="391">
        <v>0.89999999999434976</v>
      </c>
      <c r="BF109" s="383"/>
      <c r="BG109" s="369"/>
      <c r="BH109" s="333" t="e">
        <f ca="1">INDIRECT(ADDRESS(MATCH($B109,'【別紙1】標高（入力）'!$B:$B,0),'【別紙1】標高（入力）'!$N$2,4,TRUE,"【別紙1】標高（入力）"))</f>
        <v>#N/A</v>
      </c>
      <c r="BI109" s="342" t="e">
        <f ca="1">INDIRECT(ADDRESS(MATCH($B109,'【別紙1】標高（入力）'!$B:$B,0),'【別紙1】標高（入力）'!$O$2,4,TRUE,"【別紙1】標高（入力）"))</f>
        <v>#N/A</v>
      </c>
      <c r="BJ109" s="392"/>
    </row>
    <row r="110" spans="1:62" ht="15.95" customHeight="1">
      <c r="A110" s="119">
        <v>705</v>
      </c>
      <c r="B110" s="107" t="s">
        <v>393</v>
      </c>
      <c r="C110" s="114" t="s">
        <v>186</v>
      </c>
      <c r="D110" s="110" t="s">
        <v>702</v>
      </c>
      <c r="E110" s="109" t="s">
        <v>190</v>
      </c>
      <c r="F110" s="111" t="s">
        <v>12</v>
      </c>
      <c r="G110" s="112" t="s">
        <v>19</v>
      </c>
      <c r="H110" s="112" t="s">
        <v>541</v>
      </c>
      <c r="I110" s="112" t="s">
        <v>284</v>
      </c>
      <c r="J110" s="112" t="s">
        <v>263</v>
      </c>
      <c r="K110" s="222"/>
      <c r="L110" s="124">
        <v>9.8000000000000007</v>
      </c>
      <c r="M110" s="124">
        <v>-2.2000000000000002</v>
      </c>
      <c r="N110" s="124">
        <v>-2.5</v>
      </c>
      <c r="O110" s="124">
        <v>-0.6</v>
      </c>
      <c r="P110" s="124">
        <v>5.4</v>
      </c>
      <c r="Q110" s="124">
        <v>1</v>
      </c>
      <c r="R110" s="124">
        <v>0.6</v>
      </c>
      <c r="S110" s="124">
        <v>-3.6</v>
      </c>
      <c r="T110" s="124">
        <v>3</v>
      </c>
      <c r="U110" s="124">
        <v>-1.7</v>
      </c>
      <c r="V110" s="124">
        <v>1.6</v>
      </c>
      <c r="W110" s="124">
        <v>3.3</v>
      </c>
      <c r="X110" s="124">
        <v>0.4</v>
      </c>
      <c r="Y110" s="123">
        <v>-1.6</v>
      </c>
      <c r="Z110" s="432">
        <f>ROUND(0.6/3,1)</f>
        <v>0.2</v>
      </c>
      <c r="AA110" s="432">
        <f t="shared" ref="AA110:AB110" si="215">ROUND(0.6/3,1)</f>
        <v>0.2</v>
      </c>
      <c r="AB110" s="432">
        <f t="shared" si="215"/>
        <v>0.2</v>
      </c>
      <c r="AC110" s="127">
        <v>2.2000000000000002</v>
      </c>
      <c r="AD110" s="124">
        <v>-0.9</v>
      </c>
      <c r="AE110" s="124">
        <v>1.1000000000000001</v>
      </c>
      <c r="AF110" s="124">
        <v>0.3</v>
      </c>
      <c r="AG110" s="124">
        <v>0.9</v>
      </c>
      <c r="AH110" s="123">
        <v>1.1000000000000001</v>
      </c>
      <c r="AI110" s="396">
        <v>0.4</v>
      </c>
      <c r="AJ110" s="124">
        <v>-0.7</v>
      </c>
      <c r="AK110" s="124">
        <v>1.7</v>
      </c>
      <c r="AL110" s="123">
        <v>-0.9</v>
      </c>
      <c r="AM110" s="123">
        <v>1.29999999999697</v>
      </c>
      <c r="AN110" s="128">
        <v>-3.3</v>
      </c>
      <c r="AO110" s="122">
        <v>2.1</v>
      </c>
      <c r="AP110" s="126">
        <v>0.8</v>
      </c>
      <c r="AQ110" s="122">
        <v>0.3</v>
      </c>
      <c r="AR110" s="125">
        <v>0.7</v>
      </c>
      <c r="AS110" s="125">
        <v>-0.3</v>
      </c>
      <c r="AT110" s="125">
        <v>3</v>
      </c>
      <c r="AU110" s="126">
        <v>-2.9</v>
      </c>
      <c r="AV110" s="121">
        <v>-0.7</v>
      </c>
      <c r="AW110" s="125">
        <v>-2.1</v>
      </c>
      <c r="AX110" s="125">
        <v>2.7</v>
      </c>
      <c r="AY110" s="125">
        <v>-0.6</v>
      </c>
      <c r="AZ110" s="132">
        <v>-0.3</v>
      </c>
      <c r="BA110" s="133">
        <v>0.2</v>
      </c>
      <c r="BB110" s="132">
        <v>-0.8</v>
      </c>
      <c r="BC110" s="134">
        <v>0.5</v>
      </c>
      <c r="BD110" s="133">
        <v>-1.300000000000523</v>
      </c>
      <c r="BE110" s="391">
        <v>0.90000000000145519</v>
      </c>
      <c r="BF110" s="383"/>
      <c r="BG110" s="369"/>
      <c r="BH110" s="333" t="str">
        <f ca="1">INDIRECT(ADDRESS(MATCH($B110,'【別紙1】標高（入力）'!$B:$B,0),'【別紙1】標高（入力）'!$N$2,4,TRUE,"【別紙1】標高（入力）"))</f>
        <v>R5</v>
      </c>
      <c r="BI110" s="342">
        <f ca="1">INDIRECT(ADDRESS(MATCH($B110,'【別紙1】標高（入力）'!$B:$B,0),'【別紙1】標高（入力）'!$O$2,4,TRUE,"【別紙1】標高（入力）"))</f>
        <v>26.8246</v>
      </c>
      <c r="BJ110" s="392"/>
    </row>
    <row r="111" spans="1:62" ht="15.95" customHeight="1">
      <c r="A111" s="119">
        <v>706</v>
      </c>
      <c r="B111" s="107" t="s">
        <v>390</v>
      </c>
      <c r="C111" s="114" t="s">
        <v>186</v>
      </c>
      <c r="D111" s="110" t="s">
        <v>702</v>
      </c>
      <c r="E111" s="109" t="s">
        <v>190</v>
      </c>
      <c r="F111" s="111" t="s">
        <v>9</v>
      </c>
      <c r="G111" s="112" t="s">
        <v>19</v>
      </c>
      <c r="H111" s="112" t="s">
        <v>541</v>
      </c>
      <c r="I111" s="112" t="s">
        <v>284</v>
      </c>
      <c r="J111" s="112" t="s">
        <v>263</v>
      </c>
      <c r="K111" s="224"/>
      <c r="L111" s="432">
        <f>ROUND(12.9/2,1)</f>
        <v>6.5</v>
      </c>
      <c r="M111" s="432">
        <f>ROUND(12.9/2,1)-0.1</f>
        <v>6.4</v>
      </c>
      <c r="N111" s="127">
        <v>-2.1</v>
      </c>
      <c r="O111" s="124">
        <v>0.1</v>
      </c>
      <c r="P111" s="124">
        <v>6.1</v>
      </c>
      <c r="Q111" s="124">
        <v>1.2</v>
      </c>
      <c r="R111" s="124">
        <v>1.4</v>
      </c>
      <c r="S111" s="124">
        <v>-3.4</v>
      </c>
      <c r="T111" s="124">
        <v>3.5</v>
      </c>
      <c r="U111" s="124">
        <v>-1.7</v>
      </c>
      <c r="V111" s="124">
        <v>2.2999999999999998</v>
      </c>
      <c r="W111" s="124">
        <v>3.7</v>
      </c>
      <c r="X111" s="124">
        <v>1</v>
      </c>
      <c r="Y111" s="124">
        <v>-1.6</v>
      </c>
      <c r="Z111" s="124">
        <v>4</v>
      </c>
      <c r="AA111" s="124">
        <v>-0.8</v>
      </c>
      <c r="AB111" s="124">
        <v>-2.6</v>
      </c>
      <c r="AC111" s="124">
        <v>2.6</v>
      </c>
      <c r="AD111" s="124">
        <v>-0.7</v>
      </c>
      <c r="AE111" s="124">
        <v>1.9</v>
      </c>
      <c r="AF111" s="129" t="s">
        <v>87</v>
      </c>
      <c r="AG111" s="124">
        <v>1.9</v>
      </c>
      <c r="AH111" s="123">
        <v>2.1</v>
      </c>
      <c r="AI111" s="396">
        <v>0.9</v>
      </c>
      <c r="AJ111" s="124">
        <v>0.3</v>
      </c>
      <c r="AK111" s="124">
        <v>2.7</v>
      </c>
      <c r="AL111" s="123">
        <v>-0.2</v>
      </c>
      <c r="AM111" s="123">
        <v>1.6999999999995901</v>
      </c>
      <c r="AN111" s="128">
        <v>-3</v>
      </c>
      <c r="AO111" s="122">
        <v>2.7</v>
      </c>
      <c r="AP111" s="126">
        <v>1.2</v>
      </c>
      <c r="AQ111" s="122">
        <v>0.9</v>
      </c>
      <c r="AR111" s="125">
        <v>1.3</v>
      </c>
      <c r="AS111" s="125">
        <v>-0.1</v>
      </c>
      <c r="AT111" s="432">
        <f>ROUND(-1.3/4,1)</f>
        <v>-0.3</v>
      </c>
      <c r="AU111" s="432">
        <f t="shared" ref="AU111:AV111" si="216">ROUND(-1.3/4,1)</f>
        <v>-0.3</v>
      </c>
      <c r="AV111" s="432">
        <f t="shared" si="216"/>
        <v>-0.3</v>
      </c>
      <c r="AW111" s="432">
        <f>ROUND(-1.3/4,1)-0.1</f>
        <v>-0.4</v>
      </c>
      <c r="AX111" s="122">
        <v>3.8</v>
      </c>
      <c r="AY111" s="125">
        <v>-0.3</v>
      </c>
      <c r="AZ111" s="132">
        <v>0</v>
      </c>
      <c r="BA111" s="133">
        <v>0.4</v>
      </c>
      <c r="BB111" s="132">
        <v>-0.4</v>
      </c>
      <c r="BC111" s="134">
        <v>0.8</v>
      </c>
      <c r="BD111" s="133">
        <v>-0.70000000000192131</v>
      </c>
      <c r="BE111" s="391">
        <v>1.5000000000000568</v>
      </c>
      <c r="BF111" s="383"/>
      <c r="BG111" s="369"/>
      <c r="BH111" s="333" t="str">
        <f ca="1">INDIRECT(ADDRESS(MATCH($B111,'【別紙1】標高（入力）'!$B:$B,0),'【別紙1】標高（入力）'!$N$2,4,TRUE,"【別紙1】標高（入力）"))</f>
        <v>R5</v>
      </c>
      <c r="BI111" s="342">
        <f ca="1">INDIRECT(ADDRESS(MATCH($B111,'【別紙1】標高（入力）'!$B:$B,0),'【別紙1】標高（入力）'!$O$2,4,TRUE,"【別紙1】標高（入力）"))</f>
        <v>26.4819</v>
      </c>
      <c r="BJ111" s="392"/>
    </row>
    <row r="112" spans="1:62" ht="15.95" customHeight="1">
      <c r="A112" s="119">
        <v>707</v>
      </c>
      <c r="B112" s="107" t="s">
        <v>386</v>
      </c>
      <c r="C112" s="114" t="s">
        <v>186</v>
      </c>
      <c r="D112" s="110" t="s">
        <v>703</v>
      </c>
      <c r="E112" s="109" t="s">
        <v>316</v>
      </c>
      <c r="F112" s="111" t="s">
        <v>9</v>
      </c>
      <c r="G112" s="112" t="s">
        <v>19</v>
      </c>
      <c r="H112" s="112" t="s">
        <v>541</v>
      </c>
      <c r="I112" s="112" t="s">
        <v>54</v>
      </c>
      <c r="J112" s="112" t="s">
        <v>264</v>
      </c>
      <c r="K112" s="224"/>
      <c r="L112" s="432">
        <f>ROUND(121.1/2,1)</f>
        <v>60.6</v>
      </c>
      <c r="M112" s="432">
        <f>ROUND(121.1/2,1)-0.1</f>
        <v>60.5</v>
      </c>
      <c r="N112" s="127">
        <v>56.7</v>
      </c>
      <c r="O112" s="124">
        <v>10.199999999999999</v>
      </c>
      <c r="P112" s="124">
        <v>49.7</v>
      </c>
      <c r="Q112" s="124">
        <v>9</v>
      </c>
      <c r="R112" s="124">
        <v>3.2</v>
      </c>
      <c r="S112" s="124">
        <v>-4.4000000000000004</v>
      </c>
      <c r="T112" s="124">
        <v>7.9</v>
      </c>
      <c r="U112" s="124">
        <v>5.6</v>
      </c>
      <c r="V112" s="124">
        <v>19.899999999999999</v>
      </c>
      <c r="W112" s="124">
        <v>10.199999999999999</v>
      </c>
      <c r="X112" s="124">
        <v>1.4</v>
      </c>
      <c r="Y112" s="124">
        <v>-1.6</v>
      </c>
      <c r="Z112" s="124">
        <v>4.7</v>
      </c>
      <c r="AA112" s="124">
        <v>-0.6</v>
      </c>
      <c r="AB112" s="124">
        <v>1.6</v>
      </c>
      <c r="AC112" s="124">
        <v>7.3</v>
      </c>
      <c r="AD112" s="124">
        <v>-0.5</v>
      </c>
      <c r="AE112" s="124">
        <v>1.7</v>
      </c>
      <c r="AF112" s="124">
        <v>0.8</v>
      </c>
      <c r="AG112" s="124">
        <v>3.1</v>
      </c>
      <c r="AH112" s="123">
        <v>-2.2000000000000002</v>
      </c>
      <c r="AI112" s="396">
        <v>6.6</v>
      </c>
      <c r="AJ112" s="124">
        <v>3</v>
      </c>
      <c r="AK112" s="124">
        <v>0.3</v>
      </c>
      <c r="AL112" s="123">
        <v>0</v>
      </c>
      <c r="AM112" s="123">
        <v>0.70000000000192097</v>
      </c>
      <c r="AN112" s="128">
        <v>-4</v>
      </c>
      <c r="AO112" s="122">
        <v>4.5</v>
      </c>
      <c r="AP112" s="432">
        <f>ROUND(2.6/2,1)</f>
        <v>1.3</v>
      </c>
      <c r="AQ112" s="432">
        <f>ROUND(2.6/2,1)</f>
        <v>1.3</v>
      </c>
      <c r="AR112" s="122">
        <v>1.1000000000000001</v>
      </c>
      <c r="AS112" s="125">
        <v>1.4</v>
      </c>
      <c r="AT112" s="125">
        <v>1.4</v>
      </c>
      <c r="AU112" s="126">
        <v>-2.5</v>
      </c>
      <c r="AV112" s="121">
        <v>-0.9</v>
      </c>
      <c r="AW112" s="125">
        <v>-1.5</v>
      </c>
      <c r="AX112" s="125">
        <v>3.8</v>
      </c>
      <c r="AY112" s="125">
        <v>-3.8</v>
      </c>
      <c r="AZ112" s="432">
        <f>ROUND(0.2/2,1)</f>
        <v>0.1</v>
      </c>
      <c r="BA112" s="432">
        <f>ROUND(0.2/2,1)</f>
        <v>0.1</v>
      </c>
      <c r="BB112" s="121">
        <v>0.5</v>
      </c>
      <c r="BC112" s="122">
        <v>-0.4</v>
      </c>
      <c r="BD112" s="125">
        <v>1.5999999999998238</v>
      </c>
      <c r="BE112" s="141" t="s">
        <v>247</v>
      </c>
      <c r="BF112" s="379"/>
      <c r="BG112" s="368"/>
      <c r="BH112" s="333" t="str">
        <f ca="1">INDIRECT(ADDRESS(MATCH($B112,'【別紙1】標高（入力）'!$B:$B,0),'【別紙1】標高（入力）'!$N$2,4,TRUE,"【別紙1】標高（入力）"))</f>
        <v>R3</v>
      </c>
      <c r="BI112" s="342">
        <f ca="1">INDIRECT(ADDRESS(MATCH($B112,'【別紙1】標高（入力）'!$B:$B,0),'【別紙1】標高（入力）'!$O$2,4,TRUE,"【別紙1】標高（入力）"))</f>
        <v>9.0615000000000006</v>
      </c>
      <c r="BJ112" s="392"/>
    </row>
    <row r="113" spans="1:62" ht="15.95" customHeight="1">
      <c r="A113" s="119">
        <v>708</v>
      </c>
      <c r="B113" s="107" t="s">
        <v>388</v>
      </c>
      <c r="C113" s="114" t="s">
        <v>186</v>
      </c>
      <c r="D113" s="110" t="s">
        <v>562</v>
      </c>
      <c r="E113" s="109" t="s">
        <v>259</v>
      </c>
      <c r="F113" s="111" t="s">
        <v>9</v>
      </c>
      <c r="G113" s="112" t="s">
        <v>19</v>
      </c>
      <c r="H113" s="112" t="s">
        <v>541</v>
      </c>
      <c r="I113" s="112" t="s">
        <v>539</v>
      </c>
      <c r="J113" s="112" t="s">
        <v>264</v>
      </c>
      <c r="K113" s="224"/>
      <c r="L113" s="432">
        <f>ROUND(54.5/2,1)</f>
        <v>27.3</v>
      </c>
      <c r="M113" s="432">
        <f>ROUND(54.5/2,1)-0.1</f>
        <v>27.2</v>
      </c>
      <c r="N113" s="127">
        <v>1.8</v>
      </c>
      <c r="O113" s="124">
        <v>1.1000000000000001</v>
      </c>
      <c r="P113" s="124">
        <v>7.8</v>
      </c>
      <c r="Q113" s="124">
        <v>2.6</v>
      </c>
      <c r="R113" s="124">
        <v>2.2000000000000002</v>
      </c>
      <c r="S113" s="124">
        <v>-5.9</v>
      </c>
      <c r="T113" s="124">
        <v>6.1</v>
      </c>
      <c r="U113" s="124">
        <v>-2.1</v>
      </c>
      <c r="V113" s="124">
        <v>9.1</v>
      </c>
      <c r="W113" s="124">
        <v>3.6</v>
      </c>
      <c r="X113" s="124">
        <v>-0.7</v>
      </c>
      <c r="Y113" s="124">
        <v>-0.5</v>
      </c>
      <c r="Z113" s="124">
        <v>3.7</v>
      </c>
      <c r="AA113" s="124">
        <v>-0.7</v>
      </c>
      <c r="AB113" s="124">
        <v>-0.8</v>
      </c>
      <c r="AC113" s="124">
        <v>2.9</v>
      </c>
      <c r="AD113" s="124">
        <v>-0.3</v>
      </c>
      <c r="AE113" s="124">
        <v>0.1</v>
      </c>
      <c r="AF113" s="124">
        <v>0.6</v>
      </c>
      <c r="AG113" s="124">
        <v>2.4</v>
      </c>
      <c r="AH113" s="123">
        <v>5.8</v>
      </c>
      <c r="AI113" s="396">
        <v>5.6</v>
      </c>
      <c r="AJ113" s="124">
        <v>-0.5</v>
      </c>
      <c r="AK113" s="124">
        <v>3.3</v>
      </c>
      <c r="AL113" s="123">
        <v>-0.6</v>
      </c>
      <c r="AM113" s="123">
        <v>0.799999999999912</v>
      </c>
      <c r="AN113" s="128">
        <v>-3.4</v>
      </c>
      <c r="AO113" s="122">
        <v>3.4</v>
      </c>
      <c r="AP113" s="432">
        <f>ROUND(3.8/2,1)</f>
        <v>1.9</v>
      </c>
      <c r="AQ113" s="432">
        <f>ROUND(3.8/2,1)</f>
        <v>1.9</v>
      </c>
      <c r="AR113" s="122">
        <v>1.2</v>
      </c>
      <c r="AS113" s="125">
        <v>0.6</v>
      </c>
      <c r="AT113" s="432">
        <f>ROUND(-3.5/4,1)</f>
        <v>-0.9</v>
      </c>
      <c r="AU113" s="432">
        <f t="shared" ref="AU113:AV113" si="217">ROUND(-3.5/4,1)</f>
        <v>-0.9</v>
      </c>
      <c r="AV113" s="432">
        <f t="shared" si="217"/>
        <v>-0.9</v>
      </c>
      <c r="AW113" s="432">
        <f>ROUND(-3.5/4,1)+0.1</f>
        <v>-0.8</v>
      </c>
      <c r="AX113" s="122">
        <v>3.7</v>
      </c>
      <c r="AY113" s="432">
        <f>ROUND(-3.8/4,1)</f>
        <v>-1</v>
      </c>
      <c r="AZ113" s="432">
        <f t="shared" ref="AZ113:BA113" si="218">ROUND(-3.8/4,1)</f>
        <v>-1</v>
      </c>
      <c r="BA113" s="432">
        <f t="shared" si="218"/>
        <v>-1</v>
      </c>
      <c r="BB113" s="432">
        <f>ROUND(-3.8/4,1)+0.2</f>
        <v>-0.8</v>
      </c>
      <c r="BC113" s="122">
        <v>0.5</v>
      </c>
      <c r="BD113" s="125" t="s">
        <v>247</v>
      </c>
      <c r="BE113" s="142" t="s">
        <v>247</v>
      </c>
      <c r="BF113" s="379"/>
      <c r="BG113" s="368"/>
      <c r="BH113" s="333" t="str">
        <f ca="1">INDIRECT(ADDRESS(MATCH($B113,'【別紙1】標高（入力）'!$B:$B,0),'【別紙1】標高（入力）'!$N$2,4,TRUE,"【別紙1】標高（入力）"))</f>
        <v>R3</v>
      </c>
      <c r="BI113" s="342">
        <f ca="1">INDIRECT(ADDRESS(MATCH($B113,'【別紙1】標高（入力）'!$B:$B,0),'【別紙1】標高（入力）'!$O$2,4,TRUE,"【別紙1】標高（入力）"))</f>
        <v>12.725199999999999</v>
      </c>
      <c r="BJ113" s="392"/>
    </row>
    <row r="114" spans="1:62" ht="15.95" customHeight="1">
      <c r="A114" s="119">
        <v>709</v>
      </c>
      <c r="B114" s="107" t="s">
        <v>391</v>
      </c>
      <c r="C114" s="114" t="s">
        <v>186</v>
      </c>
      <c r="D114" s="110" t="s">
        <v>575</v>
      </c>
      <c r="E114" s="109" t="s">
        <v>195</v>
      </c>
      <c r="F114" s="111" t="s">
        <v>12</v>
      </c>
      <c r="G114" s="112" t="s">
        <v>19</v>
      </c>
      <c r="H114" s="112" t="s">
        <v>541</v>
      </c>
      <c r="I114" s="112" t="s">
        <v>284</v>
      </c>
      <c r="J114" s="112" t="s">
        <v>263</v>
      </c>
      <c r="K114" s="222"/>
      <c r="L114" s="124">
        <v>26.4</v>
      </c>
      <c r="M114" s="124">
        <v>-4.5999999999999996</v>
      </c>
      <c r="N114" s="123">
        <v>-4.0999999999999996</v>
      </c>
      <c r="O114" s="432">
        <f>ROUND(7.5/2,1)</f>
        <v>3.8</v>
      </c>
      <c r="P114" s="432">
        <f>ROUND(7.5/2,1)-0.1</f>
        <v>3.6999999999999997</v>
      </c>
      <c r="Q114" s="127">
        <v>-0.2</v>
      </c>
      <c r="R114" s="124">
        <v>2.5</v>
      </c>
      <c r="S114" s="124">
        <v>-4.4000000000000004</v>
      </c>
      <c r="T114" s="124">
        <v>3.2</v>
      </c>
      <c r="U114" s="124">
        <v>-1.6</v>
      </c>
      <c r="V114" s="124">
        <v>1.8</v>
      </c>
      <c r="W114" s="124">
        <v>5.7</v>
      </c>
      <c r="X114" s="123">
        <v>-0.9</v>
      </c>
      <c r="Y114" s="432">
        <f>ROUND(2.2/4,1)</f>
        <v>0.6</v>
      </c>
      <c r="Z114" s="432">
        <f t="shared" ref="Z114:AA114" si="219">ROUND(2.2/4,1)</f>
        <v>0.6</v>
      </c>
      <c r="AA114" s="432">
        <f t="shared" si="219"/>
        <v>0.6</v>
      </c>
      <c r="AB114" s="432">
        <f>ROUND(2.2/4,1)-0.2</f>
        <v>0.39999999999999997</v>
      </c>
      <c r="AC114" s="432">
        <f>ROUND(3/3,1)</f>
        <v>1</v>
      </c>
      <c r="AD114" s="432">
        <f t="shared" ref="AD114:AE114" si="220">ROUND(3/3,1)</f>
        <v>1</v>
      </c>
      <c r="AE114" s="432">
        <f t="shared" si="220"/>
        <v>1</v>
      </c>
      <c r="AF114" s="432">
        <f>ROUND(1.9/3,1)</f>
        <v>0.6</v>
      </c>
      <c r="AG114" s="432">
        <f t="shared" ref="AG114" si="221">ROUND(1.9/3,1)</f>
        <v>0.6</v>
      </c>
      <c r="AH114" s="432">
        <f>ROUND(1.9/3,1)+0.1</f>
        <v>0.7</v>
      </c>
      <c r="AI114" s="432">
        <f>ROUND(3.3/8,1)</f>
        <v>0.4</v>
      </c>
      <c r="AJ114" s="432">
        <f t="shared" ref="AJ114:AO114" si="222">ROUND(3.3/8,1)</f>
        <v>0.4</v>
      </c>
      <c r="AK114" s="432">
        <f t="shared" si="222"/>
        <v>0.4</v>
      </c>
      <c r="AL114" s="432">
        <f t="shared" si="222"/>
        <v>0.4</v>
      </c>
      <c r="AM114" s="432">
        <f t="shared" si="222"/>
        <v>0.4</v>
      </c>
      <c r="AN114" s="432">
        <f t="shared" si="222"/>
        <v>0.4</v>
      </c>
      <c r="AO114" s="432">
        <f t="shared" si="222"/>
        <v>0.4</v>
      </c>
      <c r="AP114" s="432">
        <f>ROUND(3.3/8,1)+0.1</f>
        <v>0.5</v>
      </c>
      <c r="AQ114" s="432">
        <f>ROUND(4/4,1)</f>
        <v>1</v>
      </c>
      <c r="AR114" s="432">
        <f t="shared" ref="AR114:AT114" si="223">ROUND(4/4,1)</f>
        <v>1</v>
      </c>
      <c r="AS114" s="432">
        <f t="shared" si="223"/>
        <v>1</v>
      </c>
      <c r="AT114" s="432">
        <f t="shared" si="223"/>
        <v>1</v>
      </c>
      <c r="AU114" s="126">
        <v>-3.3</v>
      </c>
      <c r="AV114" s="121">
        <v>-1</v>
      </c>
      <c r="AW114" s="125">
        <v>-2.2000000000000002</v>
      </c>
      <c r="AX114" s="125">
        <v>3.3</v>
      </c>
      <c r="AY114" s="125">
        <v>-0.1</v>
      </c>
      <c r="AZ114" s="132">
        <v>-1</v>
      </c>
      <c r="BA114" s="133">
        <v>0.2</v>
      </c>
      <c r="BB114" s="133">
        <v>-0.8</v>
      </c>
      <c r="BC114" s="432">
        <f>ROUND(-0.2/2,1)</f>
        <v>-0.1</v>
      </c>
      <c r="BD114" s="432">
        <f>ROUND(-0.2/2,1)</f>
        <v>-0.1</v>
      </c>
      <c r="BE114" s="391">
        <v>1.4000000000002899</v>
      </c>
      <c r="BF114" s="433"/>
      <c r="BG114" s="369"/>
      <c r="BH114" s="333" t="e">
        <f ca="1">INDIRECT(ADDRESS(MATCH($B114,'【別紙1】標高（入力）'!$B:$B,0),'【別紙1】標高（入力）'!$N$2,4,TRUE,"【別紙1】標高（入力）"))</f>
        <v>#N/A</v>
      </c>
      <c r="BI114" s="340" t="e">
        <f ca="1">INDIRECT(ADDRESS(MATCH($B114,'【別紙1】標高（入力）'!$B:$B,0),'【別紙1】標高（入力）'!$O$2,4,TRUE,"【別紙1】標高（入力）"))</f>
        <v>#N/A</v>
      </c>
      <c r="BJ114" s="392"/>
    </row>
    <row r="115" spans="1:62" ht="15.95" customHeight="1">
      <c r="A115" s="119">
        <v>710</v>
      </c>
      <c r="B115" s="107" t="s">
        <v>350</v>
      </c>
      <c r="C115" s="114" t="s">
        <v>285</v>
      </c>
      <c r="D115" s="110" t="s">
        <v>672</v>
      </c>
      <c r="E115" s="109" t="s">
        <v>286</v>
      </c>
      <c r="F115" s="111" t="s">
        <v>287</v>
      </c>
      <c r="G115" s="112" t="s">
        <v>255</v>
      </c>
      <c r="H115" s="112" t="s">
        <v>542</v>
      </c>
      <c r="I115" s="112" t="s">
        <v>539</v>
      </c>
      <c r="J115" s="112" t="s">
        <v>263</v>
      </c>
      <c r="K115" s="224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9"/>
      <c r="AI115" s="138" t="s">
        <v>289</v>
      </c>
      <c r="AJ115" s="135" t="s">
        <v>256</v>
      </c>
      <c r="AK115" s="124">
        <v>0.3</v>
      </c>
      <c r="AL115" s="124">
        <v>-1.8</v>
      </c>
      <c r="AM115" s="124">
        <v>2.9400000000006101</v>
      </c>
      <c r="AN115" s="128">
        <v>-2.9</v>
      </c>
      <c r="AO115" s="122">
        <v>1.3</v>
      </c>
      <c r="AP115" s="126">
        <v>1.6</v>
      </c>
      <c r="AQ115" s="125">
        <v>1.5</v>
      </c>
      <c r="AR115" s="125">
        <v>1.1000000000000001</v>
      </c>
      <c r="AS115" s="125">
        <v>0.8</v>
      </c>
      <c r="AT115" s="432">
        <f>ROUND(0.3/3,1)</f>
        <v>0.1</v>
      </c>
      <c r="AU115" s="432">
        <f t="shared" ref="AU115:AV115" si="224">ROUND(0.3/3,1)</f>
        <v>0.1</v>
      </c>
      <c r="AV115" s="432">
        <f t="shared" si="224"/>
        <v>0.1</v>
      </c>
      <c r="AW115" s="432">
        <f>ROUND(0.3/3,1)-0.1</f>
        <v>0</v>
      </c>
      <c r="AX115" s="125">
        <v>1.1000000000000001</v>
      </c>
      <c r="AY115" s="125">
        <v>-1</v>
      </c>
      <c r="AZ115" s="132">
        <v>-0.1</v>
      </c>
      <c r="BA115" s="133">
        <v>-0.7</v>
      </c>
      <c r="BB115" s="132">
        <v>-0.5</v>
      </c>
      <c r="BC115" s="134">
        <v>1.8</v>
      </c>
      <c r="BD115" s="133">
        <v>-2.0000000000006679</v>
      </c>
      <c r="BE115" s="391">
        <v>1.1999999999989797</v>
      </c>
      <c r="BF115" s="383"/>
      <c r="BG115" s="369"/>
      <c r="BH115" s="333" t="str">
        <f ca="1">INDIRECT(ADDRESS(MATCH($B115,'【別紙1】標高（入力）'!$B:$B,0),'【別紙1】標高（入力）'!$N$2,4,TRUE,"【別紙1】標高（入力）"))</f>
        <v>R5</v>
      </c>
      <c r="BI115" s="342">
        <f ca="1">INDIRECT(ADDRESS(MATCH($B115,'【別紙1】標高（入力）'!$B:$B,0),'【別紙1】標高（入力）'!$O$2,4,TRUE,"【別紙1】標高（入力）"))</f>
        <v>12.446199999999999</v>
      </c>
      <c r="BJ115" s="392"/>
    </row>
    <row r="116" spans="1:62" ht="15.95" customHeight="1">
      <c r="A116" s="119">
        <v>801</v>
      </c>
      <c r="B116" s="107" t="s">
        <v>493</v>
      </c>
      <c r="C116" s="114" t="s">
        <v>196</v>
      </c>
      <c r="D116" s="110" t="s">
        <v>576</v>
      </c>
      <c r="E116" s="109" t="s">
        <v>198</v>
      </c>
      <c r="F116" s="111" t="s">
        <v>9</v>
      </c>
      <c r="G116" s="112" t="s">
        <v>10</v>
      </c>
      <c r="H116" s="112" t="s">
        <v>541</v>
      </c>
      <c r="I116" s="112" t="s">
        <v>141</v>
      </c>
      <c r="J116" s="112" t="s">
        <v>547</v>
      </c>
      <c r="K116" s="224"/>
      <c r="L116" s="228"/>
      <c r="M116" s="228"/>
      <c r="N116" s="432">
        <f>ROUND(-8.7/2,1)</f>
        <v>-4.4000000000000004</v>
      </c>
      <c r="O116" s="432">
        <f>ROUND(-8.7/2,1)+0.1</f>
        <v>-4.3000000000000007</v>
      </c>
      <c r="P116" s="127">
        <v>15.2</v>
      </c>
      <c r="Q116" s="124">
        <v>2.9</v>
      </c>
      <c r="R116" s="123">
        <v>10.5</v>
      </c>
      <c r="S116" s="432">
        <f>ROUND(-0.8/2,1)</f>
        <v>-0.4</v>
      </c>
      <c r="T116" s="432">
        <f>ROUND(-0.8/2,1)</f>
        <v>-0.4</v>
      </c>
      <c r="U116" s="432">
        <f>ROUND(91/2,1)</f>
        <v>45.5</v>
      </c>
      <c r="V116" s="432">
        <f>ROUND(91/2,1)</f>
        <v>45.5</v>
      </c>
      <c r="W116" s="432">
        <f>ROUND(-67.4/6,1)</f>
        <v>-11.2</v>
      </c>
      <c r="X116" s="432">
        <f t="shared" ref="X116:AA116" si="225">ROUND(-67.4/6,1)</f>
        <v>-11.2</v>
      </c>
      <c r="Y116" s="432">
        <f t="shared" si="225"/>
        <v>-11.2</v>
      </c>
      <c r="Z116" s="432">
        <f t="shared" si="225"/>
        <v>-11.2</v>
      </c>
      <c r="AA116" s="432">
        <f t="shared" si="225"/>
        <v>-11.2</v>
      </c>
      <c r="AB116" s="432">
        <f>ROUND(-67.4/6,1)-0.2</f>
        <v>-11.399999999999999</v>
      </c>
      <c r="AC116" s="432">
        <f>ROUND(4.1/3,1)</f>
        <v>1.4</v>
      </c>
      <c r="AD116" s="432">
        <f t="shared" ref="AD116" si="226">ROUND(4.1/3,1)</f>
        <v>1.4</v>
      </c>
      <c r="AE116" s="432">
        <f>ROUND(4.1/3,1)-0.1</f>
        <v>1.2999999999999998</v>
      </c>
      <c r="AF116" s="432">
        <f>ROUND(6.1/3,1)</f>
        <v>2</v>
      </c>
      <c r="AG116" s="432">
        <f t="shared" ref="AG116" si="227">ROUND(6.1/3,1)</f>
        <v>2</v>
      </c>
      <c r="AH116" s="432">
        <f>ROUND(6.1/3,1)+0.1</f>
        <v>2.1</v>
      </c>
      <c r="AI116" s="432">
        <f>ROUND(24.4/8,1)</f>
        <v>3.1</v>
      </c>
      <c r="AJ116" s="432">
        <f t="shared" ref="AJ116:AO116" si="228">ROUND(24.4/8,1)</f>
        <v>3.1</v>
      </c>
      <c r="AK116" s="432">
        <f t="shared" si="228"/>
        <v>3.1</v>
      </c>
      <c r="AL116" s="432">
        <f t="shared" si="228"/>
        <v>3.1</v>
      </c>
      <c r="AM116" s="432">
        <f t="shared" si="228"/>
        <v>3.1</v>
      </c>
      <c r="AN116" s="432">
        <f t="shared" si="228"/>
        <v>3.1</v>
      </c>
      <c r="AO116" s="432">
        <f t="shared" si="228"/>
        <v>3.1</v>
      </c>
      <c r="AP116" s="432">
        <f>ROUND(24.4/8,1)-0.4</f>
        <v>2.7</v>
      </c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 t="s">
        <v>247</v>
      </c>
      <c r="BE116" s="142" t="s">
        <v>247</v>
      </c>
      <c r="BF116" s="379"/>
      <c r="BG116" s="368"/>
      <c r="BH116" s="333" t="str">
        <f ca="1">INDIRECT(ADDRESS(MATCH($B116,'【別紙1】標高（入力）'!$B:$B,0),'【別紙1】標高（入力）'!$N$2,4,TRUE,"【別紙1】標高（入力）"))</f>
        <v>H16</v>
      </c>
      <c r="BI116" s="340">
        <f ca="1">INDIRECT(ADDRESS(MATCH($B116,'【別紙1】標高（入力）'!$B:$B,0),'【別紙1】標高（入力）'!$O$2,4,TRUE,"【別紙1】標高（入力）"))</f>
        <v>28.292300000000001</v>
      </c>
      <c r="BJ116" s="392"/>
    </row>
    <row r="117" spans="1:62" ht="15.95" customHeight="1">
      <c r="A117" s="119">
        <v>802</v>
      </c>
      <c r="B117" s="107" t="s">
        <v>494</v>
      </c>
      <c r="C117" s="114" t="s">
        <v>196</v>
      </c>
      <c r="D117" s="110" t="s">
        <v>641</v>
      </c>
      <c r="E117" s="109" t="s">
        <v>200</v>
      </c>
      <c r="F117" s="111" t="s">
        <v>12</v>
      </c>
      <c r="G117" s="112" t="s">
        <v>10</v>
      </c>
      <c r="H117" s="112" t="s">
        <v>541</v>
      </c>
      <c r="I117" s="112" t="s">
        <v>141</v>
      </c>
      <c r="J117" s="112" t="s">
        <v>547</v>
      </c>
      <c r="K117" s="224"/>
      <c r="L117" s="228"/>
      <c r="M117" s="221"/>
      <c r="N117" s="124">
        <v>-3.6</v>
      </c>
      <c r="O117" s="124">
        <v>-3.9</v>
      </c>
      <c r="P117" s="124">
        <v>13.7</v>
      </c>
      <c r="Q117" s="124">
        <v>4.8</v>
      </c>
      <c r="R117" s="123">
        <v>12.3</v>
      </c>
      <c r="S117" s="432">
        <f>ROUND(-2.9/2,1)</f>
        <v>-1.5</v>
      </c>
      <c r="T117" s="432">
        <f>ROUND(-2.9/2,1)+0.1</f>
        <v>-1.4</v>
      </c>
      <c r="U117" s="432">
        <f>ROUND(-0.5/2,1)</f>
        <v>-0.3</v>
      </c>
      <c r="V117" s="432">
        <f>ROUND(-0.5/2,1)+0.1</f>
        <v>-0.19999999999999998</v>
      </c>
      <c r="W117" s="432">
        <f>ROUND(30.2/6,1)</f>
        <v>5</v>
      </c>
      <c r="X117" s="432">
        <f t="shared" ref="X117:AA117" si="229">ROUND(30.2/6,1)</f>
        <v>5</v>
      </c>
      <c r="Y117" s="432">
        <f t="shared" si="229"/>
        <v>5</v>
      </c>
      <c r="Z117" s="432">
        <f t="shared" si="229"/>
        <v>5</v>
      </c>
      <c r="AA117" s="432">
        <f t="shared" si="229"/>
        <v>5</v>
      </c>
      <c r="AB117" s="432">
        <f>ROUND(30.2/6,1)+0.2</f>
        <v>5.2</v>
      </c>
      <c r="AC117" s="432">
        <f>ROUND(9.2/3,1)</f>
        <v>3.1</v>
      </c>
      <c r="AD117" s="432">
        <f t="shared" ref="AD117" si="230">ROUND(9.2/3,1)</f>
        <v>3.1</v>
      </c>
      <c r="AE117" s="432">
        <f>ROUND(9.2/3,1)-0.1</f>
        <v>3</v>
      </c>
      <c r="AF117" s="432">
        <f>ROUND(8.1/3,1)</f>
        <v>2.7</v>
      </c>
      <c r="AG117" s="432">
        <f t="shared" ref="AG117:AH117" si="231">ROUND(8.1/3,1)</f>
        <v>2.7</v>
      </c>
      <c r="AH117" s="432">
        <f t="shared" si="231"/>
        <v>2.7</v>
      </c>
      <c r="AI117" s="432">
        <f>ROUND(25.1/8,1)</f>
        <v>3.1</v>
      </c>
      <c r="AJ117" s="432">
        <f t="shared" ref="AJ117:AO117" si="232">ROUND(25.1/8,1)</f>
        <v>3.1</v>
      </c>
      <c r="AK117" s="432">
        <f t="shared" si="232"/>
        <v>3.1</v>
      </c>
      <c r="AL117" s="432">
        <f t="shared" si="232"/>
        <v>3.1</v>
      </c>
      <c r="AM117" s="432">
        <f t="shared" si="232"/>
        <v>3.1</v>
      </c>
      <c r="AN117" s="432">
        <f t="shared" si="232"/>
        <v>3.1</v>
      </c>
      <c r="AO117" s="432">
        <f t="shared" si="232"/>
        <v>3.1</v>
      </c>
      <c r="AP117" s="432">
        <f>ROUND(25.1/8,1)+0.3</f>
        <v>3.4</v>
      </c>
      <c r="AQ117" s="432">
        <f>ROUND(4.8/5,1)</f>
        <v>1</v>
      </c>
      <c r="AR117" s="432">
        <f t="shared" ref="AR117:AT117" si="233">ROUND(4.8/5,1)</f>
        <v>1</v>
      </c>
      <c r="AS117" s="432">
        <f t="shared" si="233"/>
        <v>1</v>
      </c>
      <c r="AT117" s="432">
        <f t="shared" si="233"/>
        <v>1</v>
      </c>
      <c r="AU117" s="432">
        <f>ROUND(4.8/5,1)-0.2</f>
        <v>0.8</v>
      </c>
      <c r="AV117" s="228"/>
      <c r="AW117" s="138" t="s">
        <v>260</v>
      </c>
      <c r="AX117" s="228"/>
      <c r="AY117" s="139" t="s">
        <v>530</v>
      </c>
      <c r="AZ117" s="432">
        <f>ROUND(0.1/2,1)</f>
        <v>0.1</v>
      </c>
      <c r="BA117" s="432">
        <f>ROUND(0.1/2,1)-0.1</f>
        <v>0</v>
      </c>
      <c r="BB117" s="432">
        <f>ROUND(2.8/3,1)</f>
        <v>0.9</v>
      </c>
      <c r="BC117" s="432">
        <f t="shared" ref="BC117" si="234">ROUND(2.8/3,1)</f>
        <v>0.9</v>
      </c>
      <c r="BD117" s="432">
        <f>ROUND(2.8/3,1)+0.1</f>
        <v>1</v>
      </c>
      <c r="BE117" s="141" t="s">
        <v>247</v>
      </c>
      <c r="BF117" s="431"/>
      <c r="BG117" s="368"/>
      <c r="BH117" s="333" t="e">
        <f ca="1">INDIRECT(ADDRESS(MATCH($B117,'【別紙1】標高（入力）'!$B:$B,0),'【別紙1】標高（入力）'!$N$2,4,TRUE,"【別紙1】標高（入力）"))</f>
        <v>#N/A</v>
      </c>
      <c r="BI117" s="340" t="e">
        <f ca="1">INDIRECT(ADDRESS(MATCH($B117,'【別紙1】標高（入力）'!$B:$B,0),'【別紙1】標高（入力）'!$O$2,4,TRUE,"【別紙1】標高（入力）"))</f>
        <v>#N/A</v>
      </c>
      <c r="BJ117" s="392"/>
    </row>
    <row r="118" spans="1:62" ht="15.95" customHeight="1">
      <c r="A118" s="119">
        <v>803</v>
      </c>
      <c r="B118" s="107" t="s">
        <v>495</v>
      </c>
      <c r="C118" s="114" t="s">
        <v>196</v>
      </c>
      <c r="D118" s="110" t="s">
        <v>688</v>
      </c>
      <c r="E118" s="109" t="s">
        <v>202</v>
      </c>
      <c r="F118" s="111" t="s">
        <v>12</v>
      </c>
      <c r="G118" s="112" t="s">
        <v>10</v>
      </c>
      <c r="H118" s="112" t="s">
        <v>541</v>
      </c>
      <c r="I118" s="112" t="s">
        <v>141</v>
      </c>
      <c r="J118" s="112" t="s">
        <v>547</v>
      </c>
      <c r="K118" s="224"/>
      <c r="L118" s="228"/>
      <c r="M118" s="221"/>
      <c r="N118" s="124">
        <v>-2.6</v>
      </c>
      <c r="O118" s="124">
        <v>-3.3</v>
      </c>
      <c r="P118" s="124">
        <v>11.7</v>
      </c>
      <c r="Q118" s="124">
        <v>5</v>
      </c>
      <c r="R118" s="123">
        <v>12.9</v>
      </c>
      <c r="S118" s="432">
        <f>ROUND(4.7/2,1)</f>
        <v>2.4</v>
      </c>
      <c r="T118" s="432">
        <f>ROUND(4.7/2,1)-0.1</f>
        <v>2.2999999999999998</v>
      </c>
      <c r="U118" s="432">
        <f>ROUND(21.7/8,1)</f>
        <v>2.7</v>
      </c>
      <c r="V118" s="432">
        <f t="shared" ref="V118:AA118" si="235">ROUND(21.7/8,1)</f>
        <v>2.7</v>
      </c>
      <c r="W118" s="432">
        <f t="shared" si="235"/>
        <v>2.7</v>
      </c>
      <c r="X118" s="432">
        <f t="shared" si="235"/>
        <v>2.7</v>
      </c>
      <c r="Y118" s="432">
        <f t="shared" si="235"/>
        <v>2.7</v>
      </c>
      <c r="Z118" s="432">
        <f t="shared" si="235"/>
        <v>2.7</v>
      </c>
      <c r="AA118" s="432">
        <f t="shared" si="235"/>
        <v>2.7</v>
      </c>
      <c r="AB118" s="432">
        <f>ROUND(21.7/8,1)+0.1</f>
        <v>2.8000000000000003</v>
      </c>
      <c r="AC118" s="432">
        <f>ROUND(9.9/3,1)</f>
        <v>3.3</v>
      </c>
      <c r="AD118" s="432">
        <f t="shared" ref="AD118:AE118" si="236">ROUND(9.9/3,1)</f>
        <v>3.3</v>
      </c>
      <c r="AE118" s="432">
        <f t="shared" si="236"/>
        <v>3.3</v>
      </c>
      <c r="AF118" s="432">
        <f>ROUND(7.4/3,1)</f>
        <v>2.5</v>
      </c>
      <c r="AG118" s="432">
        <f t="shared" ref="AG118" si="237">ROUND(7.4/3,1)</f>
        <v>2.5</v>
      </c>
      <c r="AH118" s="432">
        <f>ROUND(7.4/3,1)-0.1</f>
        <v>2.4</v>
      </c>
      <c r="AI118" s="432">
        <f>ROUND(29.9/8,1)</f>
        <v>3.7</v>
      </c>
      <c r="AJ118" s="432">
        <f t="shared" ref="AJ118:AO118" si="238">ROUND(29.9/8,1)</f>
        <v>3.7</v>
      </c>
      <c r="AK118" s="432">
        <f t="shared" si="238"/>
        <v>3.7</v>
      </c>
      <c r="AL118" s="432">
        <f t="shared" si="238"/>
        <v>3.7</v>
      </c>
      <c r="AM118" s="432">
        <f t="shared" si="238"/>
        <v>3.7</v>
      </c>
      <c r="AN118" s="432">
        <f t="shared" si="238"/>
        <v>3.7</v>
      </c>
      <c r="AO118" s="432">
        <f t="shared" si="238"/>
        <v>3.7</v>
      </c>
      <c r="AP118" s="432">
        <f>ROUND(29.9/8,1)+0.3</f>
        <v>4</v>
      </c>
      <c r="AQ118" s="432">
        <f>ROUND(3.2/5,1)</f>
        <v>0.6</v>
      </c>
      <c r="AR118" s="432">
        <f t="shared" ref="AR118:AT118" si="239">ROUND(3.2/5,1)</f>
        <v>0.6</v>
      </c>
      <c r="AS118" s="432">
        <f t="shared" si="239"/>
        <v>0.6</v>
      </c>
      <c r="AT118" s="432">
        <f t="shared" si="239"/>
        <v>0.6</v>
      </c>
      <c r="AU118" s="432">
        <f>ROUND(3.2/5,1)+0.2</f>
        <v>0.8</v>
      </c>
      <c r="AV118" s="432">
        <f>ROUND(8.9/6,1)</f>
        <v>1.5</v>
      </c>
      <c r="AW118" s="432">
        <f t="shared" ref="AW118:AZ118" si="240">ROUND(8.9/6,1)</f>
        <v>1.5</v>
      </c>
      <c r="AX118" s="432">
        <f t="shared" si="240"/>
        <v>1.5</v>
      </c>
      <c r="AY118" s="432">
        <f t="shared" si="240"/>
        <v>1.5</v>
      </c>
      <c r="AZ118" s="432">
        <f t="shared" si="240"/>
        <v>1.5</v>
      </c>
      <c r="BA118" s="432">
        <f>ROUND(8.9/6,1)-0.1</f>
        <v>1.4</v>
      </c>
      <c r="BB118" s="122"/>
      <c r="BC118" s="122"/>
      <c r="BD118" s="122" t="s">
        <v>247</v>
      </c>
      <c r="BE118" s="142" t="s">
        <v>247</v>
      </c>
      <c r="BF118" s="379"/>
      <c r="BG118" s="368"/>
      <c r="BH118" s="333" t="e">
        <f ca="1">INDIRECT(ADDRESS(MATCH($B118,'【別紙1】標高（入力）'!$B:$B,0),'【別紙1】標高（入力）'!$N$2,4,TRUE,"【別紙1】標高（入力）"))</f>
        <v>#N/A</v>
      </c>
      <c r="BI118" s="340" t="e">
        <f ca="1">INDIRECT(ADDRESS(MATCH($B118,'【別紙1】標高（入力）'!$B:$B,0),'【別紙1】標高（入力）'!$O$2,4,TRUE,"【別紙1】標高（入力）"))</f>
        <v>#N/A</v>
      </c>
      <c r="BJ118" s="392"/>
    </row>
    <row r="119" spans="1:62" ht="15.95" customHeight="1">
      <c r="A119" s="119">
        <v>804</v>
      </c>
      <c r="B119" s="107" t="s">
        <v>497</v>
      </c>
      <c r="C119" s="114" t="s">
        <v>196</v>
      </c>
      <c r="D119" s="110" t="s">
        <v>704</v>
      </c>
      <c r="E119" s="109" t="s">
        <v>290</v>
      </c>
      <c r="F119" s="111" t="s">
        <v>9</v>
      </c>
      <c r="G119" s="112" t="s">
        <v>10</v>
      </c>
      <c r="H119" s="112" t="s">
        <v>541</v>
      </c>
      <c r="I119" s="112" t="s">
        <v>141</v>
      </c>
      <c r="J119" s="112" t="s">
        <v>547</v>
      </c>
      <c r="K119" s="224"/>
      <c r="L119" s="228"/>
      <c r="M119" s="228"/>
      <c r="N119" s="432">
        <f>ROUND(19.6/2,1)</f>
        <v>9.8000000000000007</v>
      </c>
      <c r="O119" s="432">
        <f>ROUND(19.6/2,1)</f>
        <v>9.8000000000000007</v>
      </c>
      <c r="P119" s="127">
        <v>11.4</v>
      </c>
      <c r="Q119" s="124">
        <v>3.5</v>
      </c>
      <c r="R119" s="123">
        <v>7.4</v>
      </c>
      <c r="S119" s="432">
        <f>ROUND(0.8/2,1)</f>
        <v>0.4</v>
      </c>
      <c r="T119" s="432">
        <f>ROUND(0.8/2,1)</f>
        <v>0.4</v>
      </c>
      <c r="U119" s="432">
        <f>ROUND(22.7/8,1)+0.3</f>
        <v>3.0999999999999996</v>
      </c>
      <c r="V119" s="432">
        <f t="shared" ref="V119:AB119" si="241">ROUND(22.7/8,1)</f>
        <v>2.8</v>
      </c>
      <c r="W119" s="432">
        <f t="shared" si="241"/>
        <v>2.8</v>
      </c>
      <c r="X119" s="432">
        <f t="shared" si="241"/>
        <v>2.8</v>
      </c>
      <c r="Y119" s="432">
        <f t="shared" si="241"/>
        <v>2.8</v>
      </c>
      <c r="Z119" s="432">
        <f t="shared" si="241"/>
        <v>2.8</v>
      </c>
      <c r="AA119" s="432">
        <f t="shared" si="241"/>
        <v>2.8</v>
      </c>
      <c r="AB119" s="432">
        <f t="shared" si="241"/>
        <v>2.8</v>
      </c>
      <c r="AC119" s="432">
        <f>ROUND(19.2/6,1)</f>
        <v>3.2</v>
      </c>
      <c r="AD119" s="432">
        <f t="shared" ref="AD119:AH119" si="242">ROUND(19.2/6,1)</f>
        <v>3.2</v>
      </c>
      <c r="AE119" s="432">
        <f t="shared" si="242"/>
        <v>3.2</v>
      </c>
      <c r="AF119" s="432">
        <f t="shared" si="242"/>
        <v>3.2</v>
      </c>
      <c r="AG119" s="432">
        <f t="shared" si="242"/>
        <v>3.2</v>
      </c>
      <c r="AH119" s="432">
        <f t="shared" si="242"/>
        <v>3.2</v>
      </c>
      <c r="AI119" s="432">
        <f>ROUND(28.5/8,1)</f>
        <v>3.6</v>
      </c>
      <c r="AJ119" s="432">
        <f t="shared" ref="AJ119:AO119" si="243">ROUND(28.5/8,1)</f>
        <v>3.6</v>
      </c>
      <c r="AK119" s="432">
        <f t="shared" si="243"/>
        <v>3.6</v>
      </c>
      <c r="AL119" s="432">
        <f t="shared" si="243"/>
        <v>3.6</v>
      </c>
      <c r="AM119" s="432">
        <f t="shared" si="243"/>
        <v>3.6</v>
      </c>
      <c r="AN119" s="432">
        <f t="shared" si="243"/>
        <v>3.6</v>
      </c>
      <c r="AO119" s="432">
        <f t="shared" si="243"/>
        <v>3.6</v>
      </c>
      <c r="AP119" s="432">
        <f>ROUND(28.5/8,1)-0.3</f>
        <v>3.3000000000000003</v>
      </c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 t="s">
        <v>247</v>
      </c>
      <c r="BE119" s="142" t="s">
        <v>247</v>
      </c>
      <c r="BF119" s="379"/>
      <c r="BG119" s="368"/>
      <c r="BH119" s="333" t="str">
        <f ca="1">INDIRECT(ADDRESS(MATCH($B119,'【別紙1】標高（入力）'!$B:$B,0),'【別紙1】標高（入力）'!$N$2,4,TRUE,"【別紙1】標高（入力）"))</f>
        <v>H16</v>
      </c>
      <c r="BI119" s="340">
        <f ca="1">INDIRECT(ADDRESS(MATCH($B119,'【別紙1】標高（入力）'!$B:$B,0),'【別紙1】標高（入力）'!$O$2,4,TRUE,"【別紙1】標高（入力）"))</f>
        <v>39.122199999999999</v>
      </c>
      <c r="BJ119" s="392"/>
    </row>
    <row r="120" spans="1:62" ht="15.95" customHeight="1">
      <c r="A120" s="119">
        <v>805</v>
      </c>
      <c r="B120" s="107" t="s">
        <v>499</v>
      </c>
      <c r="C120" s="114" t="s">
        <v>196</v>
      </c>
      <c r="D120" s="110" t="s">
        <v>689</v>
      </c>
      <c r="E120" s="109" t="s">
        <v>205</v>
      </c>
      <c r="F120" s="111" t="s">
        <v>9</v>
      </c>
      <c r="G120" s="112" t="s">
        <v>127</v>
      </c>
      <c r="H120" s="112" t="s">
        <v>541</v>
      </c>
      <c r="I120" s="112" t="s">
        <v>141</v>
      </c>
      <c r="J120" s="112" t="s">
        <v>547</v>
      </c>
      <c r="K120" s="224"/>
      <c r="L120" s="228"/>
      <c r="M120" s="228"/>
      <c r="N120" s="228"/>
      <c r="O120" s="228"/>
      <c r="P120" s="228"/>
      <c r="Q120" s="221"/>
      <c r="R120" s="123">
        <v>6.1</v>
      </c>
      <c r="S120" s="432">
        <f>ROUND(1.9/2,1)</f>
        <v>1</v>
      </c>
      <c r="T120" s="432">
        <f>ROUND(1.9/2,1)-0.1</f>
        <v>0.9</v>
      </c>
      <c r="U120" s="432">
        <f>ROUND(28/8,1)</f>
        <v>3.5</v>
      </c>
      <c r="V120" s="432">
        <f t="shared" ref="V120:AB120" si="244">ROUND(28/8,1)</f>
        <v>3.5</v>
      </c>
      <c r="W120" s="432">
        <f t="shared" si="244"/>
        <v>3.5</v>
      </c>
      <c r="X120" s="432">
        <f t="shared" si="244"/>
        <v>3.5</v>
      </c>
      <c r="Y120" s="432">
        <f t="shared" si="244"/>
        <v>3.5</v>
      </c>
      <c r="Z120" s="432">
        <f t="shared" si="244"/>
        <v>3.5</v>
      </c>
      <c r="AA120" s="432">
        <f t="shared" si="244"/>
        <v>3.5</v>
      </c>
      <c r="AB120" s="432">
        <f t="shared" si="244"/>
        <v>3.5</v>
      </c>
      <c r="AC120" s="432">
        <f>ROUND(19.8/6,1)</f>
        <v>3.3</v>
      </c>
      <c r="AD120" s="432">
        <f t="shared" ref="AD120:AH120" si="245">ROUND(19.8/6,1)</f>
        <v>3.3</v>
      </c>
      <c r="AE120" s="432">
        <f t="shared" si="245"/>
        <v>3.3</v>
      </c>
      <c r="AF120" s="432">
        <f t="shared" si="245"/>
        <v>3.3</v>
      </c>
      <c r="AG120" s="432">
        <f t="shared" si="245"/>
        <v>3.3</v>
      </c>
      <c r="AH120" s="432">
        <f t="shared" si="245"/>
        <v>3.3</v>
      </c>
      <c r="AI120" s="432">
        <f>ROUND(31.9/8,1)</f>
        <v>4</v>
      </c>
      <c r="AJ120" s="432">
        <f t="shared" ref="AJ120:AO120" si="246">ROUND(31.9/8,1)</f>
        <v>4</v>
      </c>
      <c r="AK120" s="432">
        <f t="shared" si="246"/>
        <v>4</v>
      </c>
      <c r="AL120" s="432">
        <f t="shared" si="246"/>
        <v>4</v>
      </c>
      <c r="AM120" s="432">
        <f t="shared" si="246"/>
        <v>4</v>
      </c>
      <c r="AN120" s="432">
        <f t="shared" si="246"/>
        <v>4</v>
      </c>
      <c r="AO120" s="432">
        <f t="shared" si="246"/>
        <v>4</v>
      </c>
      <c r="AP120" s="432">
        <f>ROUND(31.9/8,1)-0.1</f>
        <v>3.9</v>
      </c>
      <c r="AQ120" s="432">
        <f>ROUND(1.8/5,1)</f>
        <v>0.4</v>
      </c>
      <c r="AR120" s="432">
        <f t="shared" ref="AR120:AT120" si="247">ROUND(1.8/5,1)</f>
        <v>0.4</v>
      </c>
      <c r="AS120" s="432">
        <f t="shared" si="247"/>
        <v>0.4</v>
      </c>
      <c r="AT120" s="432">
        <f t="shared" si="247"/>
        <v>0.4</v>
      </c>
      <c r="AU120" s="432">
        <f>ROUND(1.8/5,1)-0.2</f>
        <v>0.2</v>
      </c>
      <c r="AV120" s="432">
        <f>ROUND(11.2/6,1)</f>
        <v>1.9</v>
      </c>
      <c r="AW120" s="432">
        <f t="shared" ref="AW120:AZ120" si="248">ROUND(11.2/6,1)</f>
        <v>1.9</v>
      </c>
      <c r="AX120" s="432">
        <f t="shared" si="248"/>
        <v>1.9</v>
      </c>
      <c r="AY120" s="432">
        <f t="shared" si="248"/>
        <v>1.9</v>
      </c>
      <c r="AZ120" s="432">
        <f t="shared" si="248"/>
        <v>1.9</v>
      </c>
      <c r="BA120" s="432">
        <f>ROUND(11.2/6,1)-0.2</f>
        <v>1.7</v>
      </c>
      <c r="BB120" s="122"/>
      <c r="BC120" s="122"/>
      <c r="BD120" s="122" t="s">
        <v>247</v>
      </c>
      <c r="BE120" s="142" t="s">
        <v>247</v>
      </c>
      <c r="BF120" s="379"/>
      <c r="BG120" s="368"/>
      <c r="BH120" s="333" t="str">
        <f ca="1">INDIRECT(ADDRESS(MATCH($B120,'【別紙1】標高（入力）'!$B:$B,0),'【別紙1】標高（入力）'!$N$2,4,TRUE,"【別紙1】標高（入力）"))</f>
        <v>R2</v>
      </c>
      <c r="BI120" s="340">
        <f ca="1">INDIRECT(ADDRESS(MATCH($B120,'【別紙1】標高（入力）'!$B:$B,0),'【別紙1】標高（入力）'!$O$2,4,TRUE,"【別紙1】標高（入力）"))</f>
        <v>22.140699999999999</v>
      </c>
      <c r="BJ120" s="392"/>
    </row>
    <row r="121" spans="1:62" ht="15.95" customHeight="1">
      <c r="A121" s="119">
        <v>806</v>
      </c>
      <c r="B121" s="107" t="s">
        <v>501</v>
      </c>
      <c r="C121" s="114" t="s">
        <v>196</v>
      </c>
      <c r="D121" s="110" t="s">
        <v>659</v>
      </c>
      <c r="E121" s="109" t="s">
        <v>207</v>
      </c>
      <c r="F121" s="111" t="s">
        <v>9</v>
      </c>
      <c r="G121" s="112" t="s">
        <v>31</v>
      </c>
      <c r="H121" s="112" t="s">
        <v>541</v>
      </c>
      <c r="I121" s="112" t="s">
        <v>141</v>
      </c>
      <c r="J121" s="112" t="s">
        <v>547</v>
      </c>
      <c r="K121" s="224"/>
      <c r="L121" s="228"/>
      <c r="M121" s="228"/>
      <c r="N121" s="228"/>
      <c r="O121" s="228"/>
      <c r="P121" s="221"/>
      <c r="Q121" s="124">
        <v>9.1999999999999993</v>
      </c>
      <c r="R121" s="123">
        <v>10.8</v>
      </c>
      <c r="S121" s="432">
        <f>ROUND(-5.7/2,1)</f>
        <v>-2.9</v>
      </c>
      <c r="T121" s="432">
        <f>ROUND(-5.7/2,1)+0.1</f>
        <v>-2.8</v>
      </c>
      <c r="U121" s="432">
        <f>ROUND(32.9/8,1)</f>
        <v>4.0999999999999996</v>
      </c>
      <c r="V121" s="432">
        <f t="shared" ref="V121:AA121" si="249">ROUND(32.9/8,1)</f>
        <v>4.0999999999999996</v>
      </c>
      <c r="W121" s="432">
        <f t="shared" si="249"/>
        <v>4.0999999999999996</v>
      </c>
      <c r="X121" s="432">
        <f t="shared" si="249"/>
        <v>4.0999999999999996</v>
      </c>
      <c r="Y121" s="432">
        <f t="shared" si="249"/>
        <v>4.0999999999999996</v>
      </c>
      <c r="Z121" s="432">
        <f t="shared" si="249"/>
        <v>4.0999999999999996</v>
      </c>
      <c r="AA121" s="432">
        <f t="shared" si="249"/>
        <v>4.0999999999999996</v>
      </c>
      <c r="AB121" s="432">
        <f>ROUND(32.9/8,1)+0.1</f>
        <v>4.1999999999999993</v>
      </c>
      <c r="AC121" s="432">
        <f>ROUND(27/6,1)</f>
        <v>4.5</v>
      </c>
      <c r="AD121" s="432">
        <f t="shared" ref="AD121:AH121" si="250">ROUND(27/6,1)</f>
        <v>4.5</v>
      </c>
      <c r="AE121" s="432">
        <f t="shared" si="250"/>
        <v>4.5</v>
      </c>
      <c r="AF121" s="432">
        <f t="shared" si="250"/>
        <v>4.5</v>
      </c>
      <c r="AG121" s="432">
        <f t="shared" si="250"/>
        <v>4.5</v>
      </c>
      <c r="AH121" s="432">
        <f t="shared" si="250"/>
        <v>4.5</v>
      </c>
      <c r="AI121" s="432">
        <f>ROUND(24.1/8,1)</f>
        <v>3</v>
      </c>
      <c r="AJ121" s="432">
        <f t="shared" ref="AJ121:AO121" si="251">ROUND(24.1/8,1)</f>
        <v>3</v>
      </c>
      <c r="AK121" s="432">
        <f t="shared" si="251"/>
        <v>3</v>
      </c>
      <c r="AL121" s="432">
        <f t="shared" si="251"/>
        <v>3</v>
      </c>
      <c r="AM121" s="432">
        <f t="shared" si="251"/>
        <v>3</v>
      </c>
      <c r="AN121" s="432">
        <f t="shared" si="251"/>
        <v>3</v>
      </c>
      <c r="AO121" s="432">
        <f t="shared" si="251"/>
        <v>3</v>
      </c>
      <c r="AP121" s="432">
        <f>ROUND(24.1/8,1)+0.1</f>
        <v>3.1</v>
      </c>
      <c r="AQ121" s="432">
        <f>ROUND(-3.7/5,1)</f>
        <v>-0.7</v>
      </c>
      <c r="AR121" s="432">
        <f t="shared" ref="AR121:AT121" si="252">ROUND(-3.7/5,1)</f>
        <v>-0.7</v>
      </c>
      <c r="AS121" s="432">
        <f t="shared" si="252"/>
        <v>-0.7</v>
      </c>
      <c r="AT121" s="432">
        <f t="shared" si="252"/>
        <v>-0.7</v>
      </c>
      <c r="AU121" s="432">
        <f>ROUND(-3.7/5,1)-0.2</f>
        <v>-0.89999999999999991</v>
      </c>
      <c r="AV121" s="432">
        <f>ROUND(9.6/6,1)</f>
        <v>1.6</v>
      </c>
      <c r="AW121" s="432">
        <f t="shared" ref="AW121:BA121" si="253">ROUND(9.6/6,1)</f>
        <v>1.6</v>
      </c>
      <c r="AX121" s="432">
        <f t="shared" si="253"/>
        <v>1.6</v>
      </c>
      <c r="AY121" s="432">
        <f t="shared" si="253"/>
        <v>1.6</v>
      </c>
      <c r="AZ121" s="432">
        <f t="shared" si="253"/>
        <v>1.6</v>
      </c>
      <c r="BA121" s="432">
        <f t="shared" si="253"/>
        <v>1.6</v>
      </c>
      <c r="BB121" s="122"/>
      <c r="BC121" s="122"/>
      <c r="BD121" s="122" t="s">
        <v>247</v>
      </c>
      <c r="BE121" s="142" t="s">
        <v>247</v>
      </c>
      <c r="BF121" s="379"/>
      <c r="BG121" s="368"/>
      <c r="BH121" s="333" t="str">
        <f ca="1">INDIRECT(ADDRESS(MATCH($B121,'【別紙1】標高（入力）'!$B:$B,0),'【別紙1】標高（入力）'!$N$2,4,TRUE,"【別紙1】標高（入力）"))</f>
        <v>R2</v>
      </c>
      <c r="BI121" s="340">
        <f ca="1">INDIRECT(ADDRESS(MATCH($B121,'【別紙1】標高（入力）'!$B:$B,0),'【別紙1】標高（入力）'!$O$2,4,TRUE,"【別紙1】標高（入力）"))</f>
        <v>28.729399999999998</v>
      </c>
      <c r="BJ121" s="392"/>
    </row>
    <row r="122" spans="1:62" ht="15.95" customHeight="1">
      <c r="A122" s="119">
        <v>807</v>
      </c>
      <c r="B122" s="107" t="s">
        <v>502</v>
      </c>
      <c r="C122" s="114" t="s">
        <v>196</v>
      </c>
      <c r="D122" s="110" t="s">
        <v>580</v>
      </c>
      <c r="E122" s="109" t="s">
        <v>209</v>
      </c>
      <c r="F122" s="111" t="s">
        <v>12</v>
      </c>
      <c r="G122" s="112" t="s">
        <v>31</v>
      </c>
      <c r="H122" s="112" t="s">
        <v>541</v>
      </c>
      <c r="I122" s="112" t="s">
        <v>54</v>
      </c>
      <c r="J122" s="112" t="s">
        <v>291</v>
      </c>
      <c r="K122" s="224"/>
      <c r="L122" s="228"/>
      <c r="M122" s="228"/>
      <c r="N122" s="228"/>
      <c r="O122" s="228"/>
      <c r="P122" s="221"/>
      <c r="Q122" s="124">
        <v>13.4</v>
      </c>
      <c r="R122" s="124">
        <v>12.2</v>
      </c>
      <c r="S122" s="124">
        <v>11.7</v>
      </c>
      <c r="T122" s="124">
        <v>9.9</v>
      </c>
      <c r="U122" s="124">
        <v>7.2</v>
      </c>
      <c r="V122" s="123">
        <v>11.3</v>
      </c>
      <c r="W122" s="432">
        <f>ROUND(42.6/6,1)</f>
        <v>7.1</v>
      </c>
      <c r="X122" s="432">
        <f t="shared" ref="X122:AB122" si="254">ROUND(42.6/6,1)</f>
        <v>7.1</v>
      </c>
      <c r="Y122" s="432">
        <f t="shared" si="254"/>
        <v>7.1</v>
      </c>
      <c r="Z122" s="432">
        <f t="shared" si="254"/>
        <v>7.1</v>
      </c>
      <c r="AA122" s="432">
        <f t="shared" si="254"/>
        <v>7.1</v>
      </c>
      <c r="AB122" s="432">
        <f t="shared" si="254"/>
        <v>7.1</v>
      </c>
      <c r="AC122" s="432">
        <f>ROUND(23.7/3,1)</f>
        <v>7.9</v>
      </c>
      <c r="AD122" s="432">
        <f t="shared" ref="AD122:AE122" si="255">ROUND(23.7/3,1)</f>
        <v>7.9</v>
      </c>
      <c r="AE122" s="432">
        <f t="shared" si="255"/>
        <v>7.9</v>
      </c>
      <c r="AF122" s="432">
        <f>ROUND(15/3,1)</f>
        <v>5</v>
      </c>
      <c r="AG122" s="432">
        <f t="shared" ref="AG122:AH122" si="256">ROUND(15/3,1)</f>
        <v>5</v>
      </c>
      <c r="AH122" s="432">
        <f t="shared" si="256"/>
        <v>5</v>
      </c>
      <c r="AI122" s="432">
        <f>ROUND(12.7/3,1)</f>
        <v>4.2</v>
      </c>
      <c r="AJ122" s="432">
        <f t="shared" ref="AJ122" si="257">ROUND(12.7/3,1)</f>
        <v>4.2</v>
      </c>
      <c r="AK122" s="432">
        <f>ROUND(12.7/3,1)+0.1</f>
        <v>4.3</v>
      </c>
      <c r="AL122" s="432">
        <f>ROUND(9/3,1)</f>
        <v>3</v>
      </c>
      <c r="AM122" s="432">
        <f t="shared" ref="AM122:AN122" si="258">ROUND(9/3,1)</f>
        <v>3</v>
      </c>
      <c r="AN122" s="432">
        <f t="shared" si="258"/>
        <v>3</v>
      </c>
      <c r="AO122" s="432">
        <f>ROUND(26.1/2,1)</f>
        <v>13.1</v>
      </c>
      <c r="AP122" s="432">
        <f>ROUND(26.1/2,1)-0.1</f>
        <v>13</v>
      </c>
      <c r="AQ122" s="432">
        <f>ROUND(4.8/5,1)</f>
        <v>1</v>
      </c>
      <c r="AR122" s="432">
        <f t="shared" ref="AR122:AT122" si="259">ROUND(4.8/5,1)</f>
        <v>1</v>
      </c>
      <c r="AS122" s="432">
        <f t="shared" si="259"/>
        <v>1</v>
      </c>
      <c r="AT122" s="432">
        <f t="shared" si="259"/>
        <v>1</v>
      </c>
      <c r="AU122" s="432">
        <f>ROUND(4.8/5,1)-0.2</f>
        <v>0.8</v>
      </c>
      <c r="AV122" s="432">
        <f>ROUND(13.9/4,1)</f>
        <v>3.5</v>
      </c>
      <c r="AW122" s="432">
        <f t="shared" ref="AW122:AX122" si="260">ROUND(13.9/4,1)</f>
        <v>3.5</v>
      </c>
      <c r="AX122" s="432">
        <f t="shared" si="260"/>
        <v>3.5</v>
      </c>
      <c r="AY122" s="432">
        <f>ROUND(13.9/4,1)-0.1</f>
        <v>3.4</v>
      </c>
      <c r="AZ122" s="432">
        <f>ROUND(3.5/2,1)</f>
        <v>1.8</v>
      </c>
      <c r="BA122" s="432">
        <f>ROUND(3.5/2,1)-0.1</f>
        <v>1.7</v>
      </c>
      <c r="BB122" s="432">
        <f>ROUND(7.7/3,1)</f>
        <v>2.6</v>
      </c>
      <c r="BC122" s="432">
        <f t="shared" ref="BC122" si="261">ROUND(7.7/3,1)</f>
        <v>2.6</v>
      </c>
      <c r="BD122" s="432">
        <f>ROUND(7.7/3,1)-0.1</f>
        <v>2.5</v>
      </c>
      <c r="BE122" s="141" t="s">
        <v>247</v>
      </c>
      <c r="BF122" s="431"/>
      <c r="BG122" s="368"/>
      <c r="BH122" s="333" t="e">
        <f ca="1">INDIRECT(ADDRESS(MATCH($B122,'【別紙1】標高（入力）'!$B:$B,0),'【別紙1】標高（入力）'!$N$2,4,TRUE,"【別紙1】標高（入力）"))</f>
        <v>#N/A</v>
      </c>
      <c r="BI122" s="340" t="e">
        <f ca="1">INDIRECT(ADDRESS(MATCH($B122,'【別紙1】標高（入力）'!$B:$B,0),'【別紙1】標高（入力）'!$O$2,4,TRUE,"【別紙1】標高（入力）"))</f>
        <v>#N/A</v>
      </c>
      <c r="BJ122" s="392"/>
    </row>
    <row r="123" spans="1:62" s="231" customFormat="1" ht="15.95" customHeight="1">
      <c r="A123" s="214">
        <v>808</v>
      </c>
      <c r="B123" s="215" t="s">
        <v>503</v>
      </c>
      <c r="C123" s="216" t="s">
        <v>196</v>
      </c>
      <c r="D123" s="217" t="s">
        <v>673</v>
      </c>
      <c r="E123" s="218" t="s">
        <v>211</v>
      </c>
      <c r="F123" s="219" t="s">
        <v>12</v>
      </c>
      <c r="G123" s="220" t="s">
        <v>10</v>
      </c>
      <c r="H123" s="220" t="s">
        <v>541</v>
      </c>
      <c r="I123" s="220" t="s">
        <v>141</v>
      </c>
      <c r="J123" s="220" t="s">
        <v>547</v>
      </c>
      <c r="K123" s="224"/>
      <c r="L123" s="228"/>
      <c r="M123" s="221"/>
      <c r="N123" s="124">
        <v>-1.7</v>
      </c>
      <c r="O123" s="124">
        <v>-6</v>
      </c>
      <c r="P123" s="124">
        <v>13.3</v>
      </c>
      <c r="Q123" s="124">
        <v>4.8</v>
      </c>
      <c r="R123" s="124">
        <v>15.8</v>
      </c>
      <c r="S123" s="124">
        <v>-6.4</v>
      </c>
      <c r="T123" s="123">
        <v>-1.9</v>
      </c>
      <c r="U123" s="432">
        <f>ROUND(-1.7/2,1)</f>
        <v>-0.9</v>
      </c>
      <c r="V123" s="432">
        <f>ROUND(-1.7/2,1)+0.1</f>
        <v>-0.8</v>
      </c>
      <c r="W123" s="432">
        <f>ROUND(29.1/6,1)</f>
        <v>4.9000000000000004</v>
      </c>
      <c r="X123" s="432">
        <f t="shared" ref="X123:AA123" si="262">ROUND(29.1/6,1)</f>
        <v>4.9000000000000004</v>
      </c>
      <c r="Y123" s="432">
        <f t="shared" si="262"/>
        <v>4.9000000000000004</v>
      </c>
      <c r="Z123" s="432">
        <f t="shared" si="262"/>
        <v>4.9000000000000004</v>
      </c>
      <c r="AA123" s="432">
        <f t="shared" si="262"/>
        <v>4.9000000000000004</v>
      </c>
      <c r="AB123" s="432">
        <f>ROUND(29.1/6,1)-0.3</f>
        <v>4.6000000000000005</v>
      </c>
      <c r="AC123" s="432">
        <f>ROUND(13.3/3,1)</f>
        <v>4.4000000000000004</v>
      </c>
      <c r="AD123" s="432">
        <f t="shared" ref="AD123" si="263">ROUND(13.3/3,1)</f>
        <v>4.4000000000000004</v>
      </c>
      <c r="AE123" s="432">
        <f>ROUND(13.3/3,1)+0.1</f>
        <v>4.5</v>
      </c>
      <c r="AF123" s="432">
        <f>ROUND(8.1/3,1)</f>
        <v>2.7</v>
      </c>
      <c r="AG123" s="432">
        <f t="shared" ref="AG123:AH123" si="264">ROUND(8.1/3,1)</f>
        <v>2.7</v>
      </c>
      <c r="AH123" s="432">
        <f t="shared" si="264"/>
        <v>2.7</v>
      </c>
      <c r="AI123" s="432">
        <f>ROUND(26/8,1)</f>
        <v>3.3</v>
      </c>
      <c r="AJ123" s="432">
        <f t="shared" ref="AJ123:AO123" si="265">ROUND(26/8,1)</f>
        <v>3.3</v>
      </c>
      <c r="AK123" s="432">
        <f t="shared" si="265"/>
        <v>3.3</v>
      </c>
      <c r="AL123" s="432">
        <f t="shared" si="265"/>
        <v>3.3</v>
      </c>
      <c r="AM123" s="432">
        <f t="shared" si="265"/>
        <v>3.3</v>
      </c>
      <c r="AN123" s="432">
        <f t="shared" si="265"/>
        <v>3.3</v>
      </c>
      <c r="AO123" s="432">
        <f t="shared" si="265"/>
        <v>3.3</v>
      </c>
      <c r="AP123" s="432">
        <f>ROUND(26/8,1)-0.4</f>
        <v>2.9</v>
      </c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30"/>
      <c r="BF123" s="387"/>
      <c r="BG123" s="386"/>
      <c r="BH123" s="334" t="e">
        <f ca="1">INDIRECT(ADDRESS(MATCH($B123,'【別紙1】標高（入力）'!$B:$B,0),'【別紙1】標高（入力）'!$N$2,4,TRUE,"【別紙1】標高（入力）"))</f>
        <v>#N/A</v>
      </c>
      <c r="BI123" s="341" t="e">
        <f ca="1">INDIRECT(ADDRESS(MATCH($B123,'【別紙1】標高（入力）'!$B:$B,0),'【別紙1】標高（入力）'!$O$2,4,TRUE,"【別紙1】標高（入力）"))</f>
        <v>#N/A</v>
      </c>
      <c r="BJ123" s="393" t="s">
        <v>534</v>
      </c>
    </row>
    <row r="124" spans="1:62" ht="15.95" customHeight="1">
      <c r="A124" s="119">
        <v>809</v>
      </c>
      <c r="B124" s="107" t="s">
        <v>505</v>
      </c>
      <c r="C124" s="114" t="s">
        <v>196</v>
      </c>
      <c r="D124" s="110" t="s">
        <v>660</v>
      </c>
      <c r="E124" s="109" t="s">
        <v>213</v>
      </c>
      <c r="F124" s="111" t="s">
        <v>9</v>
      </c>
      <c r="G124" s="112" t="s">
        <v>10</v>
      </c>
      <c r="H124" s="112" t="s">
        <v>541</v>
      </c>
      <c r="I124" s="112" t="s">
        <v>141</v>
      </c>
      <c r="J124" s="112" t="s">
        <v>547</v>
      </c>
      <c r="K124" s="224"/>
      <c r="L124" s="228"/>
      <c r="M124" s="228"/>
      <c r="N124" s="432">
        <f>ROUND(-5.4/2,1)</f>
        <v>-2.7</v>
      </c>
      <c r="O124" s="432">
        <f>ROUND(-5.4/2,1)</f>
        <v>-2.7</v>
      </c>
      <c r="P124" s="127">
        <v>15.1</v>
      </c>
      <c r="Q124" s="124">
        <v>1.9</v>
      </c>
      <c r="R124" s="124">
        <v>15.5</v>
      </c>
      <c r="S124" s="124">
        <v>-3.2</v>
      </c>
      <c r="T124" s="123">
        <v>-0.2</v>
      </c>
      <c r="U124" s="432">
        <f>ROUND(-0.5/2,1)</f>
        <v>-0.3</v>
      </c>
      <c r="V124" s="432">
        <f>ROUND(-0.5/2,1)+0.1</f>
        <v>-0.19999999999999998</v>
      </c>
      <c r="W124" s="432">
        <f>ROUND(25/6,1)</f>
        <v>4.2</v>
      </c>
      <c r="X124" s="432">
        <f t="shared" ref="X124:AA124" si="266">ROUND(25/6,1)</f>
        <v>4.2</v>
      </c>
      <c r="Y124" s="432">
        <f t="shared" si="266"/>
        <v>4.2</v>
      </c>
      <c r="Z124" s="432">
        <f t="shared" si="266"/>
        <v>4.2</v>
      </c>
      <c r="AA124" s="432">
        <f t="shared" si="266"/>
        <v>4.2</v>
      </c>
      <c r="AB124" s="432">
        <f>ROUND(25/6,1)-0.2</f>
        <v>4</v>
      </c>
      <c r="AC124" s="432">
        <f>ROUND(12.8/3,1)</f>
        <v>4.3</v>
      </c>
      <c r="AD124" s="432">
        <f t="shared" ref="AD124" si="267">ROUND(12.8/3,1)</f>
        <v>4.3</v>
      </c>
      <c r="AE124" s="432">
        <f>ROUND(12.8/3,1)-0.1</f>
        <v>4.2</v>
      </c>
      <c r="AF124" s="432">
        <f>ROUND(6.9/3,1)</f>
        <v>2.2999999999999998</v>
      </c>
      <c r="AG124" s="432">
        <f t="shared" ref="AG124:AH124" si="268">ROUND(6.9/3,1)</f>
        <v>2.2999999999999998</v>
      </c>
      <c r="AH124" s="432">
        <f t="shared" si="268"/>
        <v>2.2999999999999998</v>
      </c>
      <c r="AI124" s="432">
        <f>ROUND(25/8,1)</f>
        <v>3.1</v>
      </c>
      <c r="AJ124" s="432">
        <f t="shared" ref="AJ124:AO124" si="269">ROUND(25/8,1)</f>
        <v>3.1</v>
      </c>
      <c r="AK124" s="432">
        <f t="shared" si="269"/>
        <v>3.1</v>
      </c>
      <c r="AL124" s="432">
        <f t="shared" si="269"/>
        <v>3.1</v>
      </c>
      <c r="AM124" s="432">
        <f t="shared" si="269"/>
        <v>3.1</v>
      </c>
      <c r="AN124" s="432">
        <f t="shared" si="269"/>
        <v>3.1</v>
      </c>
      <c r="AO124" s="432">
        <f t="shared" si="269"/>
        <v>3.1</v>
      </c>
      <c r="AP124" s="432">
        <f>ROUND(25/8,1)+0.2</f>
        <v>3.3000000000000003</v>
      </c>
      <c r="AQ124" s="432">
        <f>ROUND(1.3/5,1)</f>
        <v>0.3</v>
      </c>
      <c r="AR124" s="432">
        <f t="shared" ref="AR124:AT124" si="270">ROUND(1.3/5,1)</f>
        <v>0.3</v>
      </c>
      <c r="AS124" s="432">
        <f t="shared" si="270"/>
        <v>0.3</v>
      </c>
      <c r="AT124" s="432">
        <f t="shared" si="270"/>
        <v>0.3</v>
      </c>
      <c r="AU124" s="432">
        <f>ROUND(1.3/5,1)-0.2</f>
        <v>9.9999999999999978E-2</v>
      </c>
      <c r="AV124" s="432">
        <f>ROUND(3.7/4,1)</f>
        <v>0.9</v>
      </c>
      <c r="AW124" s="432">
        <f t="shared" ref="AW124:AX124" si="271">ROUND(3.7/4,1)</f>
        <v>0.9</v>
      </c>
      <c r="AX124" s="432">
        <f t="shared" si="271"/>
        <v>0.9</v>
      </c>
      <c r="AY124" s="432">
        <f>ROUND(3.7/4,1)+0.1</f>
        <v>1</v>
      </c>
      <c r="AZ124" s="432">
        <f>ROUND(-1.3/2,1)</f>
        <v>-0.7</v>
      </c>
      <c r="BA124" s="432">
        <f>ROUND(-1.3/2,1)+0.1</f>
        <v>-0.6</v>
      </c>
      <c r="BB124" s="432">
        <f>ROUND(2/3,1)</f>
        <v>0.7</v>
      </c>
      <c r="BC124" s="432">
        <f t="shared" ref="BC124" si="272">ROUND(2/3,1)</f>
        <v>0.7</v>
      </c>
      <c r="BD124" s="432">
        <f>ROUND(2/3,1)-0.1</f>
        <v>0.6</v>
      </c>
      <c r="BE124" s="141" t="s">
        <v>247</v>
      </c>
      <c r="BF124" s="431"/>
      <c r="BG124" s="368"/>
      <c r="BH124" s="333" t="str">
        <f ca="1">INDIRECT(ADDRESS(MATCH($B124,'【別紙1】標高（入力）'!$B:$B,0),'【別紙1】標高（入力）'!$N$2,4,TRUE,"【別紙1】標高（入力）"))</f>
        <v>R4</v>
      </c>
      <c r="BI124" s="340">
        <f ca="1">INDIRECT(ADDRESS(MATCH($B124,'【別紙1】標高（入力）'!$B:$B,0),'【別紙1】標高（入力）'!$O$2,4,TRUE,"【別紙1】標高（入力）"))</f>
        <v>16.7468</v>
      </c>
      <c r="BJ124" s="392"/>
    </row>
    <row r="125" spans="1:62" ht="15.95" customHeight="1">
      <c r="A125" s="214">
        <v>810</v>
      </c>
      <c r="B125" s="215" t="s">
        <v>507</v>
      </c>
      <c r="C125" s="216" t="s">
        <v>196</v>
      </c>
      <c r="D125" s="217" t="s">
        <v>661</v>
      </c>
      <c r="E125" s="218" t="s">
        <v>215</v>
      </c>
      <c r="F125" s="219" t="s">
        <v>9</v>
      </c>
      <c r="G125" s="220" t="s">
        <v>10</v>
      </c>
      <c r="H125" s="220" t="s">
        <v>541</v>
      </c>
      <c r="I125" s="220" t="s">
        <v>54</v>
      </c>
      <c r="J125" s="220" t="s">
        <v>270</v>
      </c>
      <c r="K125" s="224"/>
      <c r="L125" s="228"/>
      <c r="M125" s="228"/>
      <c r="N125" s="432">
        <f>ROUND(21.7/2,1)</f>
        <v>10.9</v>
      </c>
      <c r="O125" s="432">
        <f>ROUND(21.7/2,1)-0.1</f>
        <v>10.8</v>
      </c>
      <c r="P125" s="127">
        <v>40.9</v>
      </c>
      <c r="Q125" s="124">
        <v>25.7</v>
      </c>
      <c r="R125" s="124">
        <v>24.8</v>
      </c>
      <c r="S125" s="124">
        <v>-2.1</v>
      </c>
      <c r="T125" s="123">
        <v>57.7</v>
      </c>
      <c r="U125" s="411" t="s">
        <v>1270</v>
      </c>
      <c r="V125" s="227" t="s">
        <v>1270</v>
      </c>
      <c r="W125" s="432">
        <f>ROUND(83/6,1)</f>
        <v>13.8</v>
      </c>
      <c r="X125" s="432">
        <f t="shared" ref="X125:AA125" si="273">ROUND(83/6,1)</f>
        <v>13.8</v>
      </c>
      <c r="Y125" s="432">
        <f t="shared" si="273"/>
        <v>13.8</v>
      </c>
      <c r="Z125" s="432">
        <f t="shared" si="273"/>
        <v>13.8</v>
      </c>
      <c r="AA125" s="432">
        <f t="shared" si="273"/>
        <v>13.8</v>
      </c>
      <c r="AB125" s="432">
        <f>ROUND(83/6,1)+0.2</f>
        <v>14</v>
      </c>
      <c r="AC125" s="432">
        <f>ROUND(48.5/3,1)</f>
        <v>16.2</v>
      </c>
      <c r="AD125" s="432">
        <f t="shared" ref="AD125" si="274">ROUND(48.5/3,1)</f>
        <v>16.2</v>
      </c>
      <c r="AE125" s="432">
        <f>ROUND(48.5/3,1)-0.1</f>
        <v>16.099999999999998</v>
      </c>
      <c r="AF125" s="432">
        <f>ROUND(51.6/3,1)</f>
        <v>17.2</v>
      </c>
      <c r="AG125" s="432">
        <f t="shared" ref="AG125:AH125" si="275">ROUND(51.6/3,1)</f>
        <v>17.2</v>
      </c>
      <c r="AH125" s="432">
        <f t="shared" si="275"/>
        <v>17.2</v>
      </c>
      <c r="AI125" s="432">
        <f>ROUND(19.6/6,1)</f>
        <v>3.3</v>
      </c>
      <c r="AJ125" s="432">
        <f t="shared" ref="AJ125:AM125" si="276">ROUND(19.6/6,1)</f>
        <v>3.3</v>
      </c>
      <c r="AK125" s="432">
        <f t="shared" si="276"/>
        <v>3.3</v>
      </c>
      <c r="AL125" s="432">
        <f t="shared" si="276"/>
        <v>3.3</v>
      </c>
      <c r="AM125" s="432">
        <f t="shared" si="276"/>
        <v>3.3</v>
      </c>
      <c r="AN125" s="432">
        <f>ROUND(19.6/6,1)-0.2</f>
        <v>3.0999999999999996</v>
      </c>
      <c r="AO125" s="432">
        <f>ROUND(18.9/2,1)</f>
        <v>9.5</v>
      </c>
      <c r="AP125" s="432">
        <f>ROUND(18.9/2,1)-0.1</f>
        <v>9.4</v>
      </c>
      <c r="AQ125" s="432">
        <f>ROUND(7.9/5,1)</f>
        <v>1.6</v>
      </c>
      <c r="AR125" s="432">
        <f t="shared" ref="AR125:AT125" si="277">ROUND(7.9/5,1)</f>
        <v>1.6</v>
      </c>
      <c r="AS125" s="432">
        <f t="shared" si="277"/>
        <v>1.6</v>
      </c>
      <c r="AT125" s="432">
        <f t="shared" si="277"/>
        <v>1.6</v>
      </c>
      <c r="AU125" s="432">
        <f>ROUND(7.9/5,1)-0.1</f>
        <v>1.5</v>
      </c>
      <c r="AV125" s="432">
        <f>ROUND(0.3/4,1)</f>
        <v>0.1</v>
      </c>
      <c r="AW125" s="432">
        <f t="shared" ref="AW125:AX125" si="278">ROUND(0.3/4,1)</f>
        <v>0.1</v>
      </c>
      <c r="AX125" s="432">
        <f t="shared" si="278"/>
        <v>0.1</v>
      </c>
      <c r="AY125" s="432">
        <f>ROUND(0.3/4,1)-0.1</f>
        <v>0</v>
      </c>
      <c r="AZ125" s="432">
        <f>ROUND(1/2,1)</f>
        <v>0.5</v>
      </c>
      <c r="BA125" s="432">
        <f>ROUND(1/2,1)</f>
        <v>0.5</v>
      </c>
      <c r="BB125" s="228"/>
      <c r="BC125" s="228"/>
      <c r="BD125" s="228"/>
      <c r="BE125" s="230"/>
      <c r="BF125" s="387"/>
      <c r="BG125" s="386"/>
      <c r="BH125" s="334" t="str">
        <f ca="1">INDIRECT(ADDRESS(MATCH($B125,'【別紙1】標高（入力）'!$B:$B,0),'【別紙1】標高（入力）'!$N$2,4,TRUE,"【別紙1】標高（入力）"))</f>
        <v>H27</v>
      </c>
      <c r="BI125" s="341">
        <f ca="1">INDIRECT(ADDRESS(MATCH($B125,'【別紙1】標高（入力）'!$B:$B,0),'【別紙1】標高（入力）'!$O$2,4,TRUE,"【別紙1】標高（入力）"))</f>
        <v>7.6492000000000004</v>
      </c>
      <c r="BJ125" s="393"/>
    </row>
    <row r="126" spans="1:62" ht="15.95" customHeight="1">
      <c r="A126" s="119">
        <v>811</v>
      </c>
      <c r="B126" s="107" t="s">
        <v>509</v>
      </c>
      <c r="C126" s="114" t="s">
        <v>196</v>
      </c>
      <c r="D126" s="110" t="s">
        <v>325</v>
      </c>
      <c r="E126" s="109" t="s">
        <v>1201</v>
      </c>
      <c r="F126" s="111" t="s">
        <v>9</v>
      </c>
      <c r="G126" s="112" t="s">
        <v>10</v>
      </c>
      <c r="H126" s="112" t="s">
        <v>64</v>
      </c>
      <c r="I126" s="112" t="s">
        <v>54</v>
      </c>
      <c r="J126" s="112" t="s">
        <v>270</v>
      </c>
      <c r="K126" s="224"/>
      <c r="L126" s="228"/>
      <c r="M126" s="228"/>
      <c r="N126" s="432">
        <f>ROUND(67.4/2,1)</f>
        <v>33.700000000000003</v>
      </c>
      <c r="O126" s="432">
        <f>ROUND(67.4/2,1)</f>
        <v>33.700000000000003</v>
      </c>
      <c r="P126" s="127">
        <v>62.3</v>
      </c>
      <c r="Q126" s="124">
        <v>38.799999999999997</v>
      </c>
      <c r="R126" s="124">
        <v>24.3</v>
      </c>
      <c r="S126" s="124">
        <v>6.3</v>
      </c>
      <c r="T126" s="123">
        <v>28.1</v>
      </c>
      <c r="U126" s="411" t="s">
        <v>47</v>
      </c>
      <c r="V126" s="122">
        <v>65.099999999999994</v>
      </c>
      <c r="W126" s="432">
        <f>ROUND(254.1/12,1)</f>
        <v>21.2</v>
      </c>
      <c r="X126" s="432">
        <f t="shared" ref="X126:AG126" si="279">ROUND(254.1/12,1)</f>
        <v>21.2</v>
      </c>
      <c r="Y126" s="432">
        <f t="shared" si="279"/>
        <v>21.2</v>
      </c>
      <c r="Z126" s="432">
        <f t="shared" si="279"/>
        <v>21.2</v>
      </c>
      <c r="AA126" s="432">
        <f t="shared" si="279"/>
        <v>21.2</v>
      </c>
      <c r="AB126" s="432">
        <f t="shared" si="279"/>
        <v>21.2</v>
      </c>
      <c r="AC126" s="432">
        <f t="shared" si="279"/>
        <v>21.2</v>
      </c>
      <c r="AD126" s="432">
        <f t="shared" si="279"/>
        <v>21.2</v>
      </c>
      <c r="AE126" s="432">
        <f t="shared" si="279"/>
        <v>21.2</v>
      </c>
      <c r="AF126" s="432">
        <f t="shared" si="279"/>
        <v>21.2</v>
      </c>
      <c r="AG126" s="432">
        <f t="shared" si="279"/>
        <v>21.2</v>
      </c>
      <c r="AH126" s="432">
        <f>ROUND(254.1/12,1)-0.3</f>
        <v>20.9</v>
      </c>
      <c r="AI126" s="432">
        <f>ROUND(26.4/3,1)</f>
        <v>8.8000000000000007</v>
      </c>
      <c r="AJ126" s="432">
        <f t="shared" ref="AJ126:AK126" si="280">ROUND(26.4/3,1)</f>
        <v>8.8000000000000007</v>
      </c>
      <c r="AK126" s="432">
        <f t="shared" si="280"/>
        <v>8.8000000000000007</v>
      </c>
      <c r="AL126" s="432">
        <f>ROUND(17.9/3,1)</f>
        <v>6</v>
      </c>
      <c r="AM126" s="432">
        <f t="shared" ref="AM126" si="281">ROUND(17.9/3,1)</f>
        <v>6</v>
      </c>
      <c r="AN126" s="432">
        <f>ROUND(17.9/3,1)-0.1</f>
        <v>5.9</v>
      </c>
      <c r="AO126" s="432">
        <f>ROUND(58.1/6,1)</f>
        <v>9.6999999999999993</v>
      </c>
      <c r="AP126" s="432">
        <f t="shared" ref="AP126:AS126" si="282">ROUND(58.1/6,1)</f>
        <v>9.6999999999999993</v>
      </c>
      <c r="AQ126" s="432">
        <f t="shared" si="282"/>
        <v>9.6999999999999993</v>
      </c>
      <c r="AR126" s="432">
        <f t="shared" si="282"/>
        <v>9.6999999999999993</v>
      </c>
      <c r="AS126" s="432">
        <f t="shared" si="282"/>
        <v>9.6999999999999993</v>
      </c>
      <c r="AT126" s="432">
        <f>ROUND(58.1/6,1)-0.1</f>
        <v>9.6</v>
      </c>
      <c r="AU126" s="122">
        <v>-1.2</v>
      </c>
      <c r="AV126" s="432">
        <f>ROUND(12.8/4,1)</f>
        <v>3.2</v>
      </c>
      <c r="AW126" s="432">
        <f t="shared" ref="AW126:AY126" si="283">ROUND(12.8/4,1)</f>
        <v>3.2</v>
      </c>
      <c r="AX126" s="432">
        <f t="shared" si="283"/>
        <v>3.2</v>
      </c>
      <c r="AY126" s="432">
        <f t="shared" si="283"/>
        <v>3.2</v>
      </c>
      <c r="AZ126" s="432">
        <f>ROUND(6/2,1)</f>
        <v>3</v>
      </c>
      <c r="BA126" s="432">
        <f>ROUND(6/2,1)</f>
        <v>3</v>
      </c>
      <c r="BB126" s="432">
        <f>ROUND(8.9/3,1)</f>
        <v>3</v>
      </c>
      <c r="BC126" s="432">
        <f t="shared" ref="BC126" si="284">ROUND(8.9/3,1)</f>
        <v>3</v>
      </c>
      <c r="BD126" s="432">
        <f>ROUND(8.9/3,1)-0.1</f>
        <v>2.9</v>
      </c>
      <c r="BE126" s="141" t="s">
        <v>247</v>
      </c>
      <c r="BF126" s="431"/>
      <c r="BG126" s="368"/>
      <c r="BH126" s="333" t="str">
        <f ca="1">INDIRECT(ADDRESS(MATCH($B126,'【別紙1】標高（入力）'!$B:$B,0),'【別紙1】標高（入力）'!$N$2,4,TRUE,"【別紙1】標高（入力）"))</f>
        <v>R4</v>
      </c>
      <c r="BI126" s="340">
        <f ca="1">INDIRECT(ADDRESS(MATCH($B126,'【別紙1】標高（入力）'!$B:$B,0),'【別紙1】標高（入力）'!$O$2,4,TRUE,"【別紙1】標高（入力）"))</f>
        <v>6.4301000000000004</v>
      </c>
      <c r="BJ126" s="392"/>
    </row>
    <row r="127" spans="1:62" s="231" customFormat="1" ht="15.95" customHeight="1">
      <c r="A127" s="214">
        <v>812</v>
      </c>
      <c r="B127" s="215" t="s">
        <v>510</v>
      </c>
      <c r="C127" s="216" t="s">
        <v>196</v>
      </c>
      <c r="D127" s="217" t="s">
        <v>325</v>
      </c>
      <c r="E127" s="218" t="s">
        <v>292</v>
      </c>
      <c r="F127" s="219" t="s">
        <v>9</v>
      </c>
      <c r="G127" s="220" t="s">
        <v>10</v>
      </c>
      <c r="H127" s="220" t="s">
        <v>64</v>
      </c>
      <c r="I127" s="220" t="s">
        <v>54</v>
      </c>
      <c r="J127" s="220" t="s">
        <v>270</v>
      </c>
      <c r="K127" s="224"/>
      <c r="L127" s="228"/>
      <c r="M127" s="228"/>
      <c r="N127" s="432">
        <f>ROUND(13.3/2,1)</f>
        <v>6.7</v>
      </c>
      <c r="O127" s="432">
        <f>ROUND(13.3/2,1)-0.1</f>
        <v>6.6000000000000005</v>
      </c>
      <c r="P127" s="127">
        <v>14.8</v>
      </c>
      <c r="Q127" s="124">
        <v>7.1</v>
      </c>
      <c r="R127" s="124">
        <v>1.2</v>
      </c>
      <c r="S127" s="124">
        <v>-1.3</v>
      </c>
      <c r="T127" s="124">
        <v>11.3</v>
      </c>
      <c r="U127" s="124">
        <v>2.7</v>
      </c>
      <c r="V127" s="123">
        <v>14.2</v>
      </c>
      <c r="W127" s="432">
        <f>ROUND(59.8/12,1)</f>
        <v>5</v>
      </c>
      <c r="X127" s="432">
        <f t="shared" ref="X127:AG127" si="285">ROUND(59.8/12,1)</f>
        <v>5</v>
      </c>
      <c r="Y127" s="432">
        <f t="shared" si="285"/>
        <v>5</v>
      </c>
      <c r="Z127" s="432">
        <f t="shared" si="285"/>
        <v>5</v>
      </c>
      <c r="AA127" s="432">
        <f t="shared" si="285"/>
        <v>5</v>
      </c>
      <c r="AB127" s="432">
        <f t="shared" si="285"/>
        <v>5</v>
      </c>
      <c r="AC127" s="432">
        <f t="shared" si="285"/>
        <v>5</v>
      </c>
      <c r="AD127" s="432">
        <f t="shared" si="285"/>
        <v>5</v>
      </c>
      <c r="AE127" s="432">
        <f t="shared" si="285"/>
        <v>5</v>
      </c>
      <c r="AF127" s="432">
        <f t="shared" si="285"/>
        <v>5</v>
      </c>
      <c r="AG127" s="432">
        <f t="shared" si="285"/>
        <v>5</v>
      </c>
      <c r="AH127" s="432">
        <f>ROUND(59.8/12,1)-0.2</f>
        <v>4.8</v>
      </c>
      <c r="AI127" s="228"/>
      <c r="AJ127" s="228"/>
      <c r="AK127" s="228"/>
      <c r="AL127" s="228"/>
      <c r="AM127" s="228"/>
      <c r="AN127" s="232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30"/>
      <c r="BF127" s="387"/>
      <c r="BG127" s="386"/>
      <c r="BH127" s="336" t="s">
        <v>529</v>
      </c>
      <c r="BI127" s="344" t="s">
        <v>1189</v>
      </c>
      <c r="BJ127" s="393" t="s">
        <v>723</v>
      </c>
    </row>
    <row r="128" spans="1:62" ht="15.95" customHeight="1">
      <c r="A128" s="119">
        <v>813</v>
      </c>
      <c r="B128" s="107" t="s">
        <v>1181</v>
      </c>
      <c r="C128" s="114" t="s">
        <v>196</v>
      </c>
      <c r="D128" s="110" t="s">
        <v>325</v>
      </c>
      <c r="E128" s="109" t="s">
        <v>318</v>
      </c>
      <c r="F128" s="111" t="s">
        <v>9</v>
      </c>
      <c r="G128" s="112" t="s">
        <v>555</v>
      </c>
      <c r="H128" s="112" t="s">
        <v>64</v>
      </c>
      <c r="I128" s="112" t="s">
        <v>54</v>
      </c>
      <c r="J128" s="112" t="s">
        <v>270</v>
      </c>
      <c r="K128" s="224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138" t="s">
        <v>289</v>
      </c>
      <c r="AQ128" s="228"/>
      <c r="AR128" s="228"/>
      <c r="AS128" s="229"/>
      <c r="AT128" s="139" t="s">
        <v>314</v>
      </c>
      <c r="AU128" s="125">
        <v>0.9</v>
      </c>
      <c r="AV128" s="432">
        <f>ROUND(16.8/4,1)</f>
        <v>4.2</v>
      </c>
      <c r="AW128" s="432">
        <f t="shared" ref="AW128:AY128" si="286">ROUND(16.8/4,1)</f>
        <v>4.2</v>
      </c>
      <c r="AX128" s="432">
        <f t="shared" si="286"/>
        <v>4.2</v>
      </c>
      <c r="AY128" s="432">
        <f t="shared" si="286"/>
        <v>4.2</v>
      </c>
      <c r="AZ128" s="432">
        <f>ROUND(14.6/5,1)</f>
        <v>2.9</v>
      </c>
      <c r="BA128" s="432">
        <f t="shared" ref="BA128:BC128" si="287">ROUND(14.6/5,1)</f>
        <v>2.9</v>
      </c>
      <c r="BB128" s="432">
        <f t="shared" si="287"/>
        <v>2.9</v>
      </c>
      <c r="BC128" s="432">
        <f t="shared" si="287"/>
        <v>2.9</v>
      </c>
      <c r="BD128" s="432">
        <f>ROUND(14.6/5,1)+0.1</f>
        <v>3</v>
      </c>
      <c r="BE128" s="141" t="s">
        <v>247</v>
      </c>
      <c r="BF128" s="431"/>
      <c r="BG128" s="368"/>
      <c r="BH128" s="333" t="str">
        <f ca="1">INDIRECT(ADDRESS(MATCH($B128,'【別紙1】標高（入力）'!$B:$B,0),'【別紙1】標高（入力）'!$N$2,4,TRUE,"【別紙1】標高（入力）"))</f>
        <v>R4</v>
      </c>
      <c r="BI128" s="340">
        <f ca="1">INDIRECT(ADDRESS(MATCH($B128,'【別紙1】標高（入力）'!$B:$B,0),'【別紙1】標高（入力）'!$O$2,4,TRUE,"【別紙1】標高（入力）"))</f>
        <v>4.2455999999999996</v>
      </c>
      <c r="BJ128" s="392"/>
    </row>
    <row r="129" spans="1:62" ht="15.95" customHeight="1">
      <c r="A129" s="119">
        <v>814</v>
      </c>
      <c r="B129" s="107" t="s">
        <v>1182</v>
      </c>
      <c r="C129" s="114" t="s">
        <v>196</v>
      </c>
      <c r="D129" s="110" t="s">
        <v>704</v>
      </c>
      <c r="E129" s="109" t="s">
        <v>342</v>
      </c>
      <c r="F129" s="111" t="s">
        <v>9</v>
      </c>
      <c r="G129" s="112" t="s">
        <v>343</v>
      </c>
      <c r="H129" s="112" t="s">
        <v>541</v>
      </c>
      <c r="I129" s="112" t="s">
        <v>141</v>
      </c>
      <c r="J129" s="112" t="s">
        <v>547</v>
      </c>
      <c r="K129" s="224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138" t="s">
        <v>289</v>
      </c>
      <c r="AR129" s="228"/>
      <c r="AS129" s="228"/>
      <c r="AT129" s="228"/>
      <c r="AU129" s="139" t="s">
        <v>256</v>
      </c>
      <c r="AV129" s="432">
        <f>ROUND(9.9/6,1)</f>
        <v>1.7</v>
      </c>
      <c r="AW129" s="432">
        <f t="shared" ref="AW129:AZ129" si="288">ROUND(9.9/6,1)</f>
        <v>1.7</v>
      </c>
      <c r="AX129" s="432">
        <f t="shared" si="288"/>
        <v>1.7</v>
      </c>
      <c r="AY129" s="432">
        <f t="shared" si="288"/>
        <v>1.7</v>
      </c>
      <c r="AZ129" s="432">
        <f t="shared" si="288"/>
        <v>1.7</v>
      </c>
      <c r="BA129" s="432">
        <f>ROUND(9.9/6,1)-0.3</f>
        <v>1.4</v>
      </c>
      <c r="BB129" s="122"/>
      <c r="BC129" s="122"/>
      <c r="BD129" s="122" t="s">
        <v>247</v>
      </c>
      <c r="BE129" s="142" t="s">
        <v>247</v>
      </c>
      <c r="BF129" s="379"/>
      <c r="BG129" s="368"/>
      <c r="BH129" s="333" t="str">
        <f ca="1">INDIRECT(ADDRESS(MATCH($B129,'【別紙1】標高（入力）'!$B:$B,0),'【別紙1】標高（入力）'!$N$2,4,TRUE,"【別紙1】標高（入力）"))</f>
        <v>R2</v>
      </c>
      <c r="BI129" s="340">
        <f ca="1">INDIRECT(ADDRESS(MATCH($B129,'【別紙1】標高（入力）'!$B:$B,0),'【別紙1】標高（入力）'!$O$2,4,TRUE,"【別紙1】標高（入力）"))</f>
        <v>38.540500000000002</v>
      </c>
      <c r="BJ129" s="392"/>
    </row>
    <row r="130" spans="1:62" ht="15.95" customHeight="1">
      <c r="A130" s="119">
        <v>815</v>
      </c>
      <c r="B130" s="107" t="s">
        <v>514</v>
      </c>
      <c r="C130" s="114" t="s">
        <v>196</v>
      </c>
      <c r="D130" s="110" t="s">
        <v>642</v>
      </c>
      <c r="E130" s="109" t="s">
        <v>344</v>
      </c>
      <c r="F130" s="111" t="s">
        <v>9</v>
      </c>
      <c r="G130" s="112" t="s">
        <v>345</v>
      </c>
      <c r="H130" s="112" t="s">
        <v>541</v>
      </c>
      <c r="I130" s="112" t="s">
        <v>141</v>
      </c>
      <c r="J130" s="112" t="s">
        <v>547</v>
      </c>
      <c r="K130" s="224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138" t="s">
        <v>289</v>
      </c>
      <c r="AS130" s="228"/>
      <c r="AT130" s="228"/>
      <c r="AU130" s="138" t="s">
        <v>256</v>
      </c>
      <c r="AV130" s="122">
        <v>1.5</v>
      </c>
      <c r="AW130" s="432">
        <f>ROUND(4.4/5,1)</f>
        <v>0.9</v>
      </c>
      <c r="AX130" s="432">
        <f t="shared" ref="AX130:AZ130" si="289">ROUND(4.4/5,1)</f>
        <v>0.9</v>
      </c>
      <c r="AY130" s="432">
        <f t="shared" si="289"/>
        <v>0.9</v>
      </c>
      <c r="AZ130" s="432">
        <f t="shared" si="289"/>
        <v>0.9</v>
      </c>
      <c r="BA130" s="432">
        <f>ROUND(4.4/5,1)-0.1</f>
        <v>0.8</v>
      </c>
      <c r="BB130" s="122"/>
      <c r="BC130" s="122"/>
      <c r="BD130" s="122" t="s">
        <v>247</v>
      </c>
      <c r="BE130" s="142" t="s">
        <v>247</v>
      </c>
      <c r="BF130" s="379"/>
      <c r="BG130" s="368"/>
      <c r="BH130" s="333" t="str">
        <f ca="1">INDIRECT(ADDRESS(MATCH($B130,'【別紙1】標高（入力）'!$B:$B,0),'【別紙1】標高（入力）'!$N$2,4,TRUE,"【別紙1】標高（入力）"))</f>
        <v>R4</v>
      </c>
      <c r="BI130" s="340">
        <f ca="1">INDIRECT(ADDRESS(MATCH($B130,'【別紙1】標高（入力）'!$B:$B,0),'【別紙1】標高（入力）'!$O$2,4,TRUE,"【別紙1】標高（入力）"))</f>
        <v>31.727799999999998</v>
      </c>
      <c r="BJ130" s="392"/>
    </row>
    <row r="131" spans="1:62" ht="15.95" customHeight="1">
      <c r="A131" s="119">
        <v>816</v>
      </c>
      <c r="B131" s="107" t="s">
        <v>1187</v>
      </c>
      <c r="C131" s="114" t="s">
        <v>196</v>
      </c>
      <c r="D131" s="110" t="s">
        <v>1123</v>
      </c>
      <c r="E131" s="109" t="s">
        <v>1124</v>
      </c>
      <c r="F131" s="111" t="s">
        <v>287</v>
      </c>
      <c r="G131" s="112" t="s">
        <v>543</v>
      </c>
      <c r="H131" s="112" t="s">
        <v>541</v>
      </c>
      <c r="I131" s="112" t="s">
        <v>544</v>
      </c>
      <c r="J131" s="112" t="s">
        <v>270</v>
      </c>
      <c r="K131" s="224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32"/>
      <c r="AJ131" s="228"/>
      <c r="AK131" s="228"/>
      <c r="AL131" s="228"/>
      <c r="AM131" s="228"/>
      <c r="AN131" s="228"/>
      <c r="AO131" s="228"/>
      <c r="AP131" s="232"/>
      <c r="AQ131" s="228"/>
      <c r="AR131" s="232"/>
      <c r="AS131" s="228"/>
      <c r="AT131" s="228"/>
      <c r="AU131" s="228"/>
      <c r="AV131" s="228"/>
      <c r="AW131" s="228"/>
      <c r="AX131" s="232"/>
      <c r="AY131" s="228"/>
      <c r="AZ131" s="228"/>
      <c r="BA131" s="228"/>
      <c r="BB131" s="228"/>
      <c r="BC131" s="228"/>
      <c r="BD131" s="139" t="s">
        <v>530</v>
      </c>
      <c r="BE131" s="390"/>
      <c r="BF131" s="383"/>
      <c r="BG131" s="369"/>
      <c r="BH131" s="333" t="e">
        <f ca="1">INDIRECT(ADDRESS(MATCH($B131,'【別紙1】標高（入力）'!$B:$B,0),'【別紙1】標高（入力）'!$N$2,4,TRUE,"【別紙1】標高（入力）"))</f>
        <v>#N/A</v>
      </c>
      <c r="BI131" s="340" t="e">
        <f ca="1">INDIRECT(ADDRESS(MATCH($B131,'【別紙1】標高（入力）'!$B:$B,0),'【別紙1】標高（入力）'!$O$2,4,TRUE,"【別紙1】標高（入力）"))</f>
        <v>#N/A</v>
      </c>
      <c r="BJ131" s="392"/>
    </row>
    <row r="132" spans="1:62" ht="15.95" customHeight="1">
      <c r="A132" s="119">
        <v>901</v>
      </c>
      <c r="B132" s="107" t="s">
        <v>355</v>
      </c>
      <c r="C132" s="114" t="s">
        <v>217</v>
      </c>
      <c r="D132" s="110" t="s">
        <v>341</v>
      </c>
      <c r="E132" s="109" t="s">
        <v>219</v>
      </c>
      <c r="F132" s="111" t="s">
        <v>9</v>
      </c>
      <c r="G132" s="112" t="s">
        <v>31</v>
      </c>
      <c r="H132" s="112" t="s">
        <v>64</v>
      </c>
      <c r="I132" s="112" t="s">
        <v>220</v>
      </c>
      <c r="J132" s="112" t="s">
        <v>264</v>
      </c>
      <c r="K132" s="224"/>
      <c r="L132" s="228"/>
      <c r="M132" s="228"/>
      <c r="N132" s="228"/>
      <c r="O132" s="228"/>
      <c r="P132" s="221"/>
      <c r="Q132" s="124">
        <v>3.5</v>
      </c>
      <c r="R132" s="123">
        <v>-3.1</v>
      </c>
      <c r="S132" s="432">
        <f>ROUND(-2.7/2,1)</f>
        <v>-1.4</v>
      </c>
      <c r="T132" s="432">
        <f>ROUND(-2.7/2,1)+0.1</f>
        <v>-1.2999999999999998</v>
      </c>
      <c r="U132" s="432">
        <f>ROUND(6.1/2,1)</f>
        <v>3.1</v>
      </c>
      <c r="V132" s="432">
        <f>ROUND(6.1/2,1)-0.1</f>
        <v>3</v>
      </c>
      <c r="W132" s="432">
        <f>ROUND(-2.4/12,1)</f>
        <v>-0.2</v>
      </c>
      <c r="X132" s="432">
        <f t="shared" ref="X132:AH132" si="290">ROUND(-2.4/12,1)</f>
        <v>-0.2</v>
      </c>
      <c r="Y132" s="432">
        <f t="shared" si="290"/>
        <v>-0.2</v>
      </c>
      <c r="Z132" s="432">
        <f t="shared" si="290"/>
        <v>-0.2</v>
      </c>
      <c r="AA132" s="432">
        <f t="shared" si="290"/>
        <v>-0.2</v>
      </c>
      <c r="AB132" s="432">
        <f t="shared" si="290"/>
        <v>-0.2</v>
      </c>
      <c r="AC132" s="432">
        <f t="shared" si="290"/>
        <v>-0.2</v>
      </c>
      <c r="AD132" s="432">
        <f t="shared" si="290"/>
        <v>-0.2</v>
      </c>
      <c r="AE132" s="432">
        <f t="shared" si="290"/>
        <v>-0.2</v>
      </c>
      <c r="AF132" s="432">
        <f t="shared" si="290"/>
        <v>-0.2</v>
      </c>
      <c r="AG132" s="432">
        <f t="shared" si="290"/>
        <v>-0.2</v>
      </c>
      <c r="AH132" s="432">
        <f t="shared" si="290"/>
        <v>-0.2</v>
      </c>
      <c r="AI132" s="432">
        <f>ROUND(0.3/7,1)</f>
        <v>0</v>
      </c>
      <c r="AJ132" s="432">
        <f t="shared" ref="AJ132:AN132" si="291">ROUND(0.3/7,1)</f>
        <v>0</v>
      </c>
      <c r="AK132" s="432">
        <f t="shared" si="291"/>
        <v>0</v>
      </c>
      <c r="AL132" s="432">
        <f t="shared" si="291"/>
        <v>0</v>
      </c>
      <c r="AM132" s="432">
        <f t="shared" si="291"/>
        <v>0</v>
      </c>
      <c r="AN132" s="432">
        <f t="shared" si="291"/>
        <v>0</v>
      </c>
      <c r="AO132" s="432">
        <f>ROUND(0.3/7,1)+0.3</f>
        <v>0.3</v>
      </c>
      <c r="AP132" s="432">
        <f>ROUND(4.5/2,1)</f>
        <v>2.2999999999999998</v>
      </c>
      <c r="AQ132" s="432">
        <f>ROUND(4.5/2,1)-0.1</f>
        <v>2.1999999999999997</v>
      </c>
      <c r="AR132" s="432">
        <f>ROUND(1/6,1)</f>
        <v>0.2</v>
      </c>
      <c r="AS132" s="432">
        <f t="shared" ref="AS132:AV132" si="292">ROUND(1/6,1)</f>
        <v>0.2</v>
      </c>
      <c r="AT132" s="432">
        <f t="shared" si="292"/>
        <v>0.2</v>
      </c>
      <c r="AU132" s="432">
        <f t="shared" si="292"/>
        <v>0.2</v>
      </c>
      <c r="AV132" s="432">
        <f t="shared" si="292"/>
        <v>0.2</v>
      </c>
      <c r="AW132" s="432">
        <f>ROUND(1/6,1)-0.2</f>
        <v>0</v>
      </c>
      <c r="AX132" s="432">
        <f>ROUND(0.9/5,1)</f>
        <v>0.2</v>
      </c>
      <c r="AY132" s="432">
        <f t="shared" ref="AY132:BA132" si="293">ROUND(0.9/5,1)</f>
        <v>0.2</v>
      </c>
      <c r="AZ132" s="432">
        <f t="shared" si="293"/>
        <v>0.2</v>
      </c>
      <c r="BA132" s="432">
        <f t="shared" si="293"/>
        <v>0.2</v>
      </c>
      <c r="BB132" s="432">
        <f>ROUND(0.9/5,1)-0.1</f>
        <v>0.1</v>
      </c>
      <c r="BC132" s="122"/>
      <c r="BD132" s="122"/>
      <c r="BE132" s="142"/>
      <c r="BF132" s="379"/>
      <c r="BG132" s="368"/>
      <c r="BH132" s="333" t="str">
        <f ca="1">INDIRECT(ADDRESS(MATCH($B132,'【別紙1】標高（入力）'!$B:$B,0),'【別紙1】標高（入力）'!$N$2,4,TRUE,"【別紙1】標高（入力）"))</f>
        <v>R3</v>
      </c>
      <c r="BI132" s="340">
        <f ca="1">INDIRECT(ADDRESS(MATCH($B132,'【別紙1】標高（入力）'!$B:$B,0),'【別紙1】標高（入力）'!$O$2,4,TRUE,"【別紙1】標高（入力）"))</f>
        <v>5.0468000000000002</v>
      </c>
      <c r="BJ132" s="392"/>
    </row>
    <row r="133" spans="1:62" s="231" customFormat="1" ht="15.95" customHeight="1">
      <c r="A133" s="214">
        <v>902</v>
      </c>
      <c r="B133" s="215" t="s">
        <v>1183</v>
      </c>
      <c r="C133" s="216" t="s">
        <v>217</v>
      </c>
      <c r="D133" s="217" t="s">
        <v>341</v>
      </c>
      <c r="E133" s="218" t="s">
        <v>299</v>
      </c>
      <c r="F133" s="219" t="s">
        <v>9</v>
      </c>
      <c r="G133" s="220" t="s">
        <v>31</v>
      </c>
      <c r="H133" s="220" t="s">
        <v>64</v>
      </c>
      <c r="I133" s="220" t="s">
        <v>220</v>
      </c>
      <c r="J133" s="220" t="s">
        <v>264</v>
      </c>
      <c r="K133" s="224"/>
      <c r="L133" s="228"/>
      <c r="M133" s="228"/>
      <c r="N133" s="228"/>
      <c r="O133" s="228"/>
      <c r="P133" s="221"/>
      <c r="Q133" s="124">
        <v>6.3</v>
      </c>
      <c r="R133" s="123">
        <v>-1.4</v>
      </c>
      <c r="S133" s="432">
        <f>ROUND(-4.6/2,1)</f>
        <v>-2.2999999999999998</v>
      </c>
      <c r="T133" s="432">
        <f>ROUND(-4.6/2,1)</f>
        <v>-2.2999999999999998</v>
      </c>
      <c r="U133" s="432">
        <f>ROUND(7.5/2,1)</f>
        <v>3.8</v>
      </c>
      <c r="V133" s="432">
        <f>ROUND(7.5/2,1)-0.1</f>
        <v>3.6999999999999997</v>
      </c>
      <c r="W133" s="232" t="s">
        <v>20</v>
      </c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30"/>
      <c r="BF133" s="387"/>
      <c r="BG133" s="386"/>
      <c r="BH133" s="336" t="s">
        <v>529</v>
      </c>
      <c r="BI133" s="344" t="s">
        <v>1189</v>
      </c>
      <c r="BJ133" s="393" t="s">
        <v>729</v>
      </c>
    </row>
    <row r="134" spans="1:62" ht="15.95" customHeight="1">
      <c r="A134" s="119">
        <v>903</v>
      </c>
      <c r="B134" s="107" t="s">
        <v>357</v>
      </c>
      <c r="C134" s="114" t="s">
        <v>217</v>
      </c>
      <c r="D134" s="110" t="s">
        <v>690</v>
      </c>
      <c r="E134" s="109" t="s">
        <v>222</v>
      </c>
      <c r="F134" s="111" t="s">
        <v>70</v>
      </c>
      <c r="G134" s="112" t="s">
        <v>223</v>
      </c>
      <c r="H134" s="112" t="s">
        <v>541</v>
      </c>
      <c r="I134" s="112" t="s">
        <v>220</v>
      </c>
      <c r="J134" s="112" t="s">
        <v>264</v>
      </c>
      <c r="K134" s="224"/>
      <c r="L134" s="228"/>
      <c r="M134" s="228"/>
      <c r="N134" s="228"/>
      <c r="O134" s="221"/>
      <c r="P134" s="124">
        <v>1.6</v>
      </c>
      <c r="Q134" s="124">
        <v>3.7</v>
      </c>
      <c r="R134" s="124">
        <v>3.2</v>
      </c>
      <c r="S134" s="124">
        <v>-4.7</v>
      </c>
      <c r="T134" s="124">
        <v>1.4</v>
      </c>
      <c r="U134" s="124">
        <v>2.8</v>
      </c>
      <c r="V134" s="123">
        <v>4.8</v>
      </c>
      <c r="W134" s="432">
        <f>ROUND(1.8/6,1)</f>
        <v>0.3</v>
      </c>
      <c r="X134" s="432">
        <f t="shared" ref="X134:AB134" si="294">ROUND(1.8/6,1)</f>
        <v>0.3</v>
      </c>
      <c r="Y134" s="432">
        <f t="shared" si="294"/>
        <v>0.3</v>
      </c>
      <c r="Z134" s="432">
        <f t="shared" si="294"/>
        <v>0.3</v>
      </c>
      <c r="AA134" s="432">
        <f t="shared" si="294"/>
        <v>0.3</v>
      </c>
      <c r="AB134" s="432">
        <f t="shared" si="294"/>
        <v>0.3</v>
      </c>
      <c r="AC134" s="432">
        <f>ROUND(16.9/3,1)</f>
        <v>5.6</v>
      </c>
      <c r="AD134" s="432">
        <f t="shared" ref="AD134" si="295">ROUND(16.9/3,1)</f>
        <v>5.6</v>
      </c>
      <c r="AE134" s="432">
        <f>ROUND(16.9/3,1)+0.1</f>
        <v>5.6999999999999993</v>
      </c>
      <c r="AF134" s="432">
        <f>ROUND(3.8/3,1)</f>
        <v>1.3</v>
      </c>
      <c r="AG134" s="432">
        <f t="shared" ref="AG134" si="296">ROUND(3.8/3,1)</f>
        <v>1.3</v>
      </c>
      <c r="AH134" s="432">
        <f>ROUND(3.8/3,1)-0.1</f>
        <v>1.2</v>
      </c>
      <c r="AI134" s="432">
        <f>ROUND(10.3/7,1)</f>
        <v>1.5</v>
      </c>
      <c r="AJ134" s="432">
        <f t="shared" ref="AJ134:AN134" si="297">ROUND(10.3/7,1)</f>
        <v>1.5</v>
      </c>
      <c r="AK134" s="432">
        <f t="shared" si="297"/>
        <v>1.5</v>
      </c>
      <c r="AL134" s="432">
        <f t="shared" si="297"/>
        <v>1.5</v>
      </c>
      <c r="AM134" s="432">
        <f t="shared" si="297"/>
        <v>1.5</v>
      </c>
      <c r="AN134" s="432">
        <f t="shared" si="297"/>
        <v>1.5</v>
      </c>
      <c r="AO134" s="432">
        <f>ROUND(10.3/7,1)-0.2</f>
        <v>1.3</v>
      </c>
      <c r="AP134" s="432">
        <f>ROUND(6.5/2,1)</f>
        <v>3.3</v>
      </c>
      <c r="AQ134" s="432">
        <f>ROUND(6.5/2,1)-0.1</f>
        <v>3.1999999999999997</v>
      </c>
      <c r="AR134" s="432">
        <f>ROUND(6.4/6,1)</f>
        <v>1.1000000000000001</v>
      </c>
      <c r="AS134" s="432">
        <f t="shared" ref="AS134:AV134" si="298">ROUND(6.4/6,1)</f>
        <v>1.1000000000000001</v>
      </c>
      <c r="AT134" s="432">
        <f t="shared" si="298"/>
        <v>1.1000000000000001</v>
      </c>
      <c r="AU134" s="432">
        <f t="shared" si="298"/>
        <v>1.1000000000000001</v>
      </c>
      <c r="AV134" s="432">
        <f t="shared" si="298"/>
        <v>1.1000000000000001</v>
      </c>
      <c r="AW134" s="432">
        <f>ROUND(6.4/6,1)-0.2</f>
        <v>0.90000000000000013</v>
      </c>
      <c r="AX134" s="432">
        <f>ROUND(-3.1/5,1)</f>
        <v>-0.6</v>
      </c>
      <c r="AY134" s="432">
        <f t="shared" ref="AY134:BA134" si="299">ROUND(-3.1/5,1)</f>
        <v>-0.6</v>
      </c>
      <c r="AZ134" s="432">
        <f t="shared" si="299"/>
        <v>-0.6</v>
      </c>
      <c r="BA134" s="432">
        <f t="shared" si="299"/>
        <v>-0.6</v>
      </c>
      <c r="BB134" s="432">
        <f>ROUND(-3.1/5,1)-0.1</f>
        <v>-0.7</v>
      </c>
      <c r="BC134" s="122"/>
      <c r="BD134" s="122" t="s">
        <v>247</v>
      </c>
      <c r="BE134" s="142" t="s">
        <v>247</v>
      </c>
      <c r="BF134" s="379"/>
      <c r="BG134" s="368"/>
      <c r="BH134" s="333" t="str">
        <f ca="1">INDIRECT(ADDRESS(MATCH($B134,'【別紙1】標高（入力）'!$B:$B,0),'【別紙1】標高（入力）'!$N$2,4,TRUE,"【別紙1】標高（入力）"))</f>
        <v>R3</v>
      </c>
      <c r="BI134" s="340">
        <f ca="1">INDIRECT(ADDRESS(MATCH($B134,'【別紙1】標高（入力）'!$B:$B,0),'【別紙1】標高（入力）'!$O$2,4,TRUE,"【別紙1】標高（入力）"))</f>
        <v>4.4196</v>
      </c>
      <c r="BJ134" s="392"/>
    </row>
    <row r="135" spans="1:62" ht="15.95" customHeight="1">
      <c r="A135" s="119">
        <v>904</v>
      </c>
      <c r="B135" s="107" t="s">
        <v>1190</v>
      </c>
      <c r="C135" s="114" t="s">
        <v>217</v>
      </c>
      <c r="D135" s="110" t="s">
        <v>577</v>
      </c>
      <c r="E135" s="109" t="s">
        <v>299</v>
      </c>
      <c r="F135" s="111" t="s">
        <v>12</v>
      </c>
      <c r="G135" s="112" t="s">
        <v>31</v>
      </c>
      <c r="H135" s="112" t="s">
        <v>541</v>
      </c>
      <c r="I135" s="112" t="s">
        <v>539</v>
      </c>
      <c r="J135" s="112" t="s">
        <v>293</v>
      </c>
      <c r="K135" s="224"/>
      <c r="L135" s="228"/>
      <c r="M135" s="228"/>
      <c r="N135" s="228"/>
      <c r="O135" s="228"/>
      <c r="P135" s="221"/>
      <c r="Q135" s="124">
        <v>1.9</v>
      </c>
      <c r="R135" s="123">
        <v>-1.9</v>
      </c>
      <c r="S135" s="432">
        <f>ROUND(-4.4/2,1)</f>
        <v>-2.2000000000000002</v>
      </c>
      <c r="T135" s="432">
        <f>ROUND(-4.4/2,1)</f>
        <v>-2.2000000000000002</v>
      </c>
      <c r="U135" s="432">
        <f>ROUND(1.1/2,1)</f>
        <v>0.6</v>
      </c>
      <c r="V135" s="432">
        <f>ROUND(1.1/2,1)-0.1</f>
        <v>0.5</v>
      </c>
      <c r="W135" s="432">
        <f>ROUND(3.6/6,1)</f>
        <v>0.6</v>
      </c>
      <c r="X135" s="432">
        <f t="shared" ref="X135:AB135" si="300">ROUND(3.6/6,1)</f>
        <v>0.6</v>
      </c>
      <c r="Y135" s="432">
        <f t="shared" si="300"/>
        <v>0.6</v>
      </c>
      <c r="Z135" s="432">
        <f t="shared" si="300"/>
        <v>0.6</v>
      </c>
      <c r="AA135" s="432">
        <f t="shared" si="300"/>
        <v>0.6</v>
      </c>
      <c r="AB135" s="432">
        <f t="shared" si="300"/>
        <v>0.6</v>
      </c>
      <c r="AC135" s="432">
        <f>ROUND(16.5/3,1)</f>
        <v>5.5</v>
      </c>
      <c r="AD135" s="432">
        <f t="shared" ref="AD135:AE135" si="301">ROUND(16.5/3,1)</f>
        <v>5.5</v>
      </c>
      <c r="AE135" s="432">
        <f t="shared" si="301"/>
        <v>5.5</v>
      </c>
      <c r="AF135" s="432">
        <f>ROUND(-4.8/3,1)</f>
        <v>-1.6</v>
      </c>
      <c r="AG135" s="432">
        <f t="shared" ref="AG135:AH135" si="302">ROUND(-4.8/3,1)</f>
        <v>-1.6</v>
      </c>
      <c r="AH135" s="432">
        <f t="shared" si="302"/>
        <v>-1.6</v>
      </c>
      <c r="AI135" s="432">
        <f>ROUND(4.6/7,1)</f>
        <v>0.7</v>
      </c>
      <c r="AJ135" s="432">
        <f t="shared" ref="AJ135:AN135" si="303">ROUND(4.6/7,1)</f>
        <v>0.7</v>
      </c>
      <c r="AK135" s="432">
        <f t="shared" si="303"/>
        <v>0.7</v>
      </c>
      <c r="AL135" s="432">
        <f t="shared" si="303"/>
        <v>0.7</v>
      </c>
      <c r="AM135" s="432">
        <f t="shared" si="303"/>
        <v>0.7</v>
      </c>
      <c r="AN135" s="432">
        <f t="shared" si="303"/>
        <v>0.7</v>
      </c>
      <c r="AO135" s="432">
        <f>ROUND(4.6/7,1)-0.3</f>
        <v>0.39999999999999997</v>
      </c>
      <c r="AP135" s="432">
        <f>ROUND(4.7/2,1)</f>
        <v>2.4</v>
      </c>
      <c r="AQ135" s="432">
        <f>ROUND(4.7/2,1)-0.1</f>
        <v>2.2999999999999998</v>
      </c>
      <c r="AR135" s="432">
        <f>ROUND(4.8/6,1)</f>
        <v>0.8</v>
      </c>
      <c r="AS135" s="432">
        <f t="shared" ref="AS135:AW135" si="304">ROUND(4.8/6,1)</f>
        <v>0.8</v>
      </c>
      <c r="AT135" s="432">
        <f t="shared" si="304"/>
        <v>0.8</v>
      </c>
      <c r="AU135" s="432">
        <f t="shared" si="304"/>
        <v>0.8</v>
      </c>
      <c r="AV135" s="432">
        <f t="shared" si="304"/>
        <v>0.8</v>
      </c>
      <c r="AW135" s="432">
        <f t="shared" si="304"/>
        <v>0.8</v>
      </c>
      <c r="AX135" s="432">
        <f>ROUND(4.6/5,1)</f>
        <v>0.9</v>
      </c>
      <c r="AY135" s="432">
        <f t="shared" ref="AY135:BA135" si="305">ROUND(4.6/5,1)</f>
        <v>0.9</v>
      </c>
      <c r="AZ135" s="432">
        <f t="shared" si="305"/>
        <v>0.9</v>
      </c>
      <c r="BA135" s="432">
        <f t="shared" si="305"/>
        <v>0.9</v>
      </c>
      <c r="BB135" s="432">
        <f>ROUND(4.6/5,1)+0.1</f>
        <v>1</v>
      </c>
      <c r="BC135" s="122"/>
      <c r="BD135" s="122" t="s">
        <v>247</v>
      </c>
      <c r="BE135" s="142" t="s">
        <v>247</v>
      </c>
      <c r="BF135" s="379"/>
      <c r="BG135" s="368"/>
      <c r="BH135" s="333" t="e">
        <f ca="1">INDIRECT(ADDRESS(MATCH($B135,'【別紙1】標高（入力）'!$B:$B,0),'【別紙1】標高（入力）'!$N$2,4,TRUE,"【別紙1】標高（入力）"))</f>
        <v>#N/A</v>
      </c>
      <c r="BI135" s="340" t="e">
        <f ca="1">INDIRECT(ADDRESS(MATCH($B135,'【別紙1】標高（入力）'!$B:$B,0),'【別紙1】標高（入力）'!$O$2,4,TRUE,"【別紙1】標高（入力）"))</f>
        <v>#N/A</v>
      </c>
      <c r="BJ135" s="392"/>
    </row>
    <row r="136" spans="1:62" ht="15.95" customHeight="1">
      <c r="A136" s="119">
        <v>905</v>
      </c>
      <c r="B136" s="107" t="s">
        <v>353</v>
      </c>
      <c r="C136" s="114" t="s">
        <v>217</v>
      </c>
      <c r="D136" s="110" t="s">
        <v>691</v>
      </c>
      <c r="E136" s="109" t="s">
        <v>226</v>
      </c>
      <c r="F136" s="111" t="s">
        <v>12</v>
      </c>
      <c r="G136" s="112" t="s">
        <v>31</v>
      </c>
      <c r="H136" s="112" t="s">
        <v>541</v>
      </c>
      <c r="I136" s="112" t="s">
        <v>284</v>
      </c>
      <c r="J136" s="112" t="s">
        <v>293</v>
      </c>
      <c r="K136" s="224"/>
      <c r="L136" s="228"/>
      <c r="M136" s="228"/>
      <c r="N136" s="228"/>
      <c r="O136" s="228"/>
      <c r="P136" s="221"/>
      <c r="Q136" s="124">
        <v>1.1000000000000001</v>
      </c>
      <c r="R136" s="123">
        <v>0.3</v>
      </c>
      <c r="S136" s="432">
        <f>ROUND(-4.3/2,1)</f>
        <v>-2.2000000000000002</v>
      </c>
      <c r="T136" s="432">
        <f>ROUND(-4.3/2,1)+0.1</f>
        <v>-2.1</v>
      </c>
      <c r="U136" s="432">
        <f>ROUND(-0.2/2,1)</f>
        <v>-0.1</v>
      </c>
      <c r="V136" s="432">
        <f>ROUND(-0.2/2,1)</f>
        <v>-0.1</v>
      </c>
      <c r="W136" s="228"/>
      <c r="X136" s="228"/>
      <c r="Y136" s="228"/>
      <c r="Z136" s="228"/>
      <c r="AA136" s="228"/>
      <c r="AB136" s="227" t="s">
        <v>47</v>
      </c>
      <c r="AC136" s="432">
        <f>ROUND(4.1/3,1)</f>
        <v>1.4</v>
      </c>
      <c r="AD136" s="432">
        <f t="shared" ref="AD136" si="306">ROUND(4.1/3,1)</f>
        <v>1.4</v>
      </c>
      <c r="AE136" s="432">
        <f>ROUND(4.1/3,1)-0.1</f>
        <v>1.2999999999999998</v>
      </c>
      <c r="AF136" s="432">
        <f>ROUND(-5.8/3,1)</f>
        <v>-1.9</v>
      </c>
      <c r="AG136" s="432">
        <f t="shared" ref="AG136" si="307">ROUND(-5.8/3,1)</f>
        <v>-1.9</v>
      </c>
      <c r="AH136" s="432">
        <f>ROUND(-5.8/3,1)-0.1</f>
        <v>-2</v>
      </c>
      <c r="AI136" s="228" t="s">
        <v>247</v>
      </c>
      <c r="AJ136" s="228"/>
      <c r="AK136" s="138" t="s">
        <v>260</v>
      </c>
      <c r="AL136" s="228"/>
      <c r="AM136" s="228"/>
      <c r="AN136" s="228"/>
      <c r="AO136" s="139" t="s">
        <v>256</v>
      </c>
      <c r="AP136" s="432">
        <f>ROUND(4/2,1)</f>
        <v>2</v>
      </c>
      <c r="AQ136" s="432">
        <f>ROUND(4/2,1)</f>
        <v>2</v>
      </c>
      <c r="AR136" s="432">
        <f>ROUND(-2.7/6,1)</f>
        <v>-0.5</v>
      </c>
      <c r="AS136" s="432">
        <f t="shared" ref="AS136:AV136" si="308">ROUND(-2.7/6,1)</f>
        <v>-0.5</v>
      </c>
      <c r="AT136" s="432">
        <f t="shared" si="308"/>
        <v>-0.5</v>
      </c>
      <c r="AU136" s="432">
        <f t="shared" si="308"/>
        <v>-0.5</v>
      </c>
      <c r="AV136" s="432">
        <f t="shared" si="308"/>
        <v>-0.5</v>
      </c>
      <c r="AW136" s="432">
        <f>ROUND(-2.7/6,1)+0.3</f>
        <v>-0.2</v>
      </c>
      <c r="AX136" s="432">
        <f>ROUND(1.2/5,1)</f>
        <v>0.2</v>
      </c>
      <c r="AY136" s="432">
        <f t="shared" ref="AY136:BA136" si="309">ROUND(1.2/5,1)</f>
        <v>0.2</v>
      </c>
      <c r="AZ136" s="432">
        <f t="shared" si="309"/>
        <v>0.2</v>
      </c>
      <c r="BA136" s="432">
        <f t="shared" si="309"/>
        <v>0.2</v>
      </c>
      <c r="BB136" s="432">
        <f>ROUND(1.2/5,1)+0.2</f>
        <v>0.4</v>
      </c>
      <c r="BC136" s="122"/>
      <c r="BD136" s="122" t="s">
        <v>247</v>
      </c>
      <c r="BE136" s="142" t="s">
        <v>247</v>
      </c>
      <c r="BF136" s="379"/>
      <c r="BG136" s="368"/>
      <c r="BH136" s="333" t="e">
        <f ca="1">INDIRECT(ADDRESS(MATCH($B136,'【別紙1】標高（入力）'!$B:$B,0),'【別紙1】標高（入力）'!$N$2,4,TRUE,"【別紙1】標高（入力）"))</f>
        <v>#N/A</v>
      </c>
      <c r="BI136" s="340" t="e">
        <f ca="1">INDIRECT(ADDRESS(MATCH($B136,'【別紙1】標高（入力）'!$B:$B,0),'【別紙1】標高（入力）'!$O$2,4,TRUE,"【別紙1】標高（入力）"))</f>
        <v>#N/A</v>
      </c>
      <c r="BJ136" s="392"/>
    </row>
    <row r="137" spans="1:62" ht="15.95" customHeight="1">
      <c r="A137" s="119">
        <v>906</v>
      </c>
      <c r="B137" s="107" t="s">
        <v>352</v>
      </c>
      <c r="C137" s="114" t="s">
        <v>217</v>
      </c>
      <c r="D137" s="110" t="s">
        <v>674</v>
      </c>
      <c r="E137" s="109" t="s">
        <v>299</v>
      </c>
      <c r="F137" s="111" t="s">
        <v>12</v>
      </c>
      <c r="G137" s="112" t="s">
        <v>223</v>
      </c>
      <c r="H137" s="112" t="s">
        <v>541</v>
      </c>
      <c r="I137" s="112" t="s">
        <v>284</v>
      </c>
      <c r="J137" s="112" t="s">
        <v>293</v>
      </c>
      <c r="K137" s="224"/>
      <c r="L137" s="228"/>
      <c r="M137" s="228"/>
      <c r="N137" s="228"/>
      <c r="O137" s="221"/>
      <c r="P137" s="124">
        <v>0.3</v>
      </c>
      <c r="Q137" s="124">
        <v>0.5</v>
      </c>
      <c r="R137" s="124">
        <v>2</v>
      </c>
      <c r="S137" s="124">
        <v>-5.3</v>
      </c>
      <c r="T137" s="124">
        <v>1.5</v>
      </c>
      <c r="U137" s="124">
        <v>-0.3</v>
      </c>
      <c r="V137" s="123">
        <v>2.4</v>
      </c>
      <c r="W137" s="432">
        <f>ROUND(-0.4/6,1)</f>
        <v>-0.1</v>
      </c>
      <c r="X137" s="432">
        <f t="shared" ref="X137:AA137" si="310">ROUND(-0.4/6,1)</f>
        <v>-0.1</v>
      </c>
      <c r="Y137" s="432">
        <f t="shared" si="310"/>
        <v>-0.1</v>
      </c>
      <c r="Z137" s="432">
        <f t="shared" si="310"/>
        <v>-0.1</v>
      </c>
      <c r="AA137" s="432">
        <f t="shared" si="310"/>
        <v>-0.1</v>
      </c>
      <c r="AB137" s="432">
        <f>ROUND(-0.4/6,1)+0.2</f>
        <v>0.1</v>
      </c>
      <c r="AC137" s="432">
        <f>ROUND(5.3/3,1)</f>
        <v>1.8</v>
      </c>
      <c r="AD137" s="432">
        <f t="shared" ref="AD137" si="311">ROUND(5.3/3,1)</f>
        <v>1.8</v>
      </c>
      <c r="AE137" s="432">
        <f>ROUND(5.3/3,1)-0.1</f>
        <v>1.7</v>
      </c>
      <c r="AF137" s="432">
        <f>ROUND(-5.6/3,1)</f>
        <v>-1.9</v>
      </c>
      <c r="AG137" s="432">
        <f t="shared" ref="AG137" si="312">ROUND(-5.6/3,1)</f>
        <v>-1.9</v>
      </c>
      <c r="AH137" s="432">
        <f>ROUND(-5.6/3,1)+0.1</f>
        <v>-1.7999999999999998</v>
      </c>
      <c r="AI137" s="432">
        <f>ROUND(3.7/7,1)</f>
        <v>0.5</v>
      </c>
      <c r="AJ137" s="432">
        <f t="shared" ref="AJ137:AN137" si="313">ROUND(3.7/7,1)</f>
        <v>0.5</v>
      </c>
      <c r="AK137" s="432">
        <f t="shared" si="313"/>
        <v>0.5</v>
      </c>
      <c r="AL137" s="432">
        <f t="shared" si="313"/>
        <v>0.5</v>
      </c>
      <c r="AM137" s="432">
        <f t="shared" si="313"/>
        <v>0.5</v>
      </c>
      <c r="AN137" s="432">
        <f t="shared" si="313"/>
        <v>0.5</v>
      </c>
      <c r="AO137" s="432">
        <f>ROUND(3.7/7,1)+0.2</f>
        <v>0.7</v>
      </c>
      <c r="AP137" s="432">
        <f>ROUND(5.2/2,1)</f>
        <v>2.6</v>
      </c>
      <c r="AQ137" s="432">
        <f>ROUND(5.2/2,1)</f>
        <v>2.6</v>
      </c>
      <c r="AR137" s="432">
        <f>ROUND(-0.6/6,1)</f>
        <v>-0.1</v>
      </c>
      <c r="AS137" s="432">
        <f t="shared" ref="AS137:AW138" si="314">ROUND(-0.6/6,1)</f>
        <v>-0.1</v>
      </c>
      <c r="AT137" s="432">
        <f t="shared" si="314"/>
        <v>-0.1</v>
      </c>
      <c r="AU137" s="432">
        <f t="shared" si="314"/>
        <v>-0.1</v>
      </c>
      <c r="AV137" s="432">
        <f t="shared" si="314"/>
        <v>-0.1</v>
      </c>
      <c r="AW137" s="432">
        <f t="shared" si="314"/>
        <v>-0.1</v>
      </c>
      <c r="AX137" s="432">
        <f>ROUND(-4/5,1)</f>
        <v>-0.8</v>
      </c>
      <c r="AY137" s="432">
        <f t="shared" ref="AY137:BB137" si="315">ROUND(-4/5,1)</f>
        <v>-0.8</v>
      </c>
      <c r="AZ137" s="432">
        <f t="shared" si="315"/>
        <v>-0.8</v>
      </c>
      <c r="BA137" s="432">
        <f t="shared" si="315"/>
        <v>-0.8</v>
      </c>
      <c r="BB137" s="432">
        <f t="shared" si="315"/>
        <v>-0.8</v>
      </c>
      <c r="BC137" s="122"/>
      <c r="BD137" s="122" t="s">
        <v>247</v>
      </c>
      <c r="BE137" s="142" t="s">
        <v>247</v>
      </c>
      <c r="BF137" s="379"/>
      <c r="BG137" s="368"/>
      <c r="BH137" s="333" t="e">
        <f ca="1">INDIRECT(ADDRESS(MATCH($B137,'【別紙1】標高（入力）'!$B:$B,0),'【別紙1】標高（入力）'!$N$2,4,TRUE,"【別紙1】標高（入力）"))</f>
        <v>#N/A</v>
      </c>
      <c r="BI137" s="340" t="e">
        <f ca="1">INDIRECT(ADDRESS(MATCH($B137,'【別紙1】標高（入力）'!$B:$B,0),'【別紙1】標高（入力）'!$O$2,4,TRUE,"【別紙1】標高（入力）"))</f>
        <v>#N/A</v>
      </c>
      <c r="BJ137" s="392"/>
    </row>
    <row r="138" spans="1:62" ht="15.95" customHeight="1">
      <c r="A138" s="119">
        <v>907</v>
      </c>
      <c r="B138" s="107" t="s">
        <v>523</v>
      </c>
      <c r="C138" s="114" t="s">
        <v>217</v>
      </c>
      <c r="D138" s="110" t="s">
        <v>581</v>
      </c>
      <c r="E138" s="109" t="s">
        <v>230</v>
      </c>
      <c r="F138" s="111" t="s">
        <v>12</v>
      </c>
      <c r="G138" s="112" t="s">
        <v>10</v>
      </c>
      <c r="H138" s="112" t="s">
        <v>541</v>
      </c>
      <c r="I138" s="112" t="s">
        <v>284</v>
      </c>
      <c r="J138" s="112" t="s">
        <v>293</v>
      </c>
      <c r="K138" s="224"/>
      <c r="L138" s="228"/>
      <c r="M138" s="221"/>
      <c r="N138" s="124">
        <v>-10.8</v>
      </c>
      <c r="O138" s="124">
        <v>13.2</v>
      </c>
      <c r="P138" s="124">
        <v>-0.6</v>
      </c>
      <c r="Q138" s="124">
        <v>0.3</v>
      </c>
      <c r="R138" s="124">
        <v>0.6</v>
      </c>
      <c r="S138" s="124">
        <v>-2.7</v>
      </c>
      <c r="T138" s="124">
        <v>1.1000000000000001</v>
      </c>
      <c r="U138" s="124">
        <v>3.1</v>
      </c>
      <c r="V138" s="123">
        <v>3.1</v>
      </c>
      <c r="W138" s="432">
        <f>ROUND(1.8/6,1)</f>
        <v>0.3</v>
      </c>
      <c r="X138" s="432">
        <f t="shared" ref="X138:AB138" si="316">ROUND(1.8/6,1)</f>
        <v>0.3</v>
      </c>
      <c r="Y138" s="432">
        <f t="shared" si="316"/>
        <v>0.3</v>
      </c>
      <c r="Z138" s="432">
        <f t="shared" si="316"/>
        <v>0.3</v>
      </c>
      <c r="AA138" s="432">
        <f t="shared" si="316"/>
        <v>0.3</v>
      </c>
      <c r="AB138" s="432">
        <f t="shared" si="316"/>
        <v>0.3</v>
      </c>
      <c r="AC138" s="432">
        <f>ROUND(7/3,1)</f>
        <v>2.2999999999999998</v>
      </c>
      <c r="AD138" s="432">
        <f t="shared" ref="AD138" si="317">ROUND(7/3,1)</f>
        <v>2.2999999999999998</v>
      </c>
      <c r="AE138" s="432">
        <f>ROUND(7/3,1)+0.1</f>
        <v>2.4</v>
      </c>
      <c r="AF138" s="432">
        <f>ROUND(-4.3/3,1)</f>
        <v>-1.4</v>
      </c>
      <c r="AG138" s="432">
        <f t="shared" ref="AG138" si="318">ROUND(-4.3/3,1)</f>
        <v>-1.4</v>
      </c>
      <c r="AH138" s="432">
        <f>ROUND(-4.3/3,1)-0.1</f>
        <v>-1.5</v>
      </c>
      <c r="AI138" s="432">
        <f>ROUND(3/7,1)</f>
        <v>0.4</v>
      </c>
      <c r="AJ138" s="432">
        <f t="shared" ref="AJ138:AN138" si="319">ROUND(3/7,1)</f>
        <v>0.4</v>
      </c>
      <c r="AK138" s="432">
        <f t="shared" si="319"/>
        <v>0.4</v>
      </c>
      <c r="AL138" s="432">
        <f t="shared" si="319"/>
        <v>0.4</v>
      </c>
      <c r="AM138" s="432">
        <f t="shared" si="319"/>
        <v>0.4</v>
      </c>
      <c r="AN138" s="432">
        <f t="shared" si="319"/>
        <v>0.4</v>
      </c>
      <c r="AO138" s="432">
        <f>ROUND(3/7,1)+0.2</f>
        <v>0.60000000000000009</v>
      </c>
      <c r="AP138" s="432">
        <f>ROUND(3.9/2,1)</f>
        <v>2</v>
      </c>
      <c r="AQ138" s="432">
        <f>ROUND(3.9/2,1)-0.1</f>
        <v>1.9</v>
      </c>
      <c r="AR138" s="432">
        <f>ROUND(-0.6/6,1)</f>
        <v>-0.1</v>
      </c>
      <c r="AS138" s="432">
        <f t="shared" si="314"/>
        <v>-0.1</v>
      </c>
      <c r="AT138" s="432">
        <f t="shared" si="314"/>
        <v>-0.1</v>
      </c>
      <c r="AU138" s="432">
        <f t="shared" si="314"/>
        <v>-0.1</v>
      </c>
      <c r="AV138" s="432">
        <f t="shared" si="314"/>
        <v>-0.1</v>
      </c>
      <c r="AW138" s="432">
        <f t="shared" si="314"/>
        <v>-0.1</v>
      </c>
      <c r="AX138" s="432">
        <f>ROUND(1.2/5,1)</f>
        <v>0.2</v>
      </c>
      <c r="AY138" s="432">
        <f t="shared" ref="AY138:BA138" si="320">ROUND(1.2/5,1)</f>
        <v>0.2</v>
      </c>
      <c r="AZ138" s="432">
        <f t="shared" si="320"/>
        <v>0.2</v>
      </c>
      <c r="BA138" s="432">
        <f t="shared" si="320"/>
        <v>0.2</v>
      </c>
      <c r="BB138" s="432">
        <f>ROUND(1.2/5,1)+0.4</f>
        <v>0.60000000000000009</v>
      </c>
      <c r="BC138" s="122"/>
      <c r="BD138" s="122" t="s">
        <v>247</v>
      </c>
      <c r="BE138" s="142" t="s">
        <v>247</v>
      </c>
      <c r="BF138" s="379"/>
      <c r="BG138" s="368"/>
      <c r="BH138" s="333" t="str">
        <f ca="1">INDIRECT(ADDRESS(MATCH($B138,'【別紙1】標高（入力）'!$B:$B,0),'【別紙1】標高（入力）'!$N$2,4,TRUE,"【別紙1】標高（入力）"))</f>
        <v>R3</v>
      </c>
      <c r="BI138" s="340">
        <f ca="1">INDIRECT(ADDRESS(MATCH($B138,'【別紙1】標高（入力）'!$B:$B,0),'【別紙1】標高（入力）'!$O$2,4,TRUE,"【別紙1】標高（入力）"))</f>
        <v>25.3736</v>
      </c>
      <c r="BJ138" s="392"/>
    </row>
    <row r="139" spans="1:62" ht="15.95" customHeight="1">
      <c r="A139" s="119">
        <v>908</v>
      </c>
      <c r="B139" s="107" t="s">
        <v>359</v>
      </c>
      <c r="C139" s="114" t="s">
        <v>217</v>
      </c>
      <c r="D139" s="110" t="s">
        <v>705</v>
      </c>
      <c r="E139" s="109" t="s">
        <v>231</v>
      </c>
      <c r="F139" s="111" t="s">
        <v>9</v>
      </c>
      <c r="G139" s="112" t="s">
        <v>10</v>
      </c>
      <c r="H139" s="112" t="s">
        <v>542</v>
      </c>
      <c r="I139" s="112" t="s">
        <v>54</v>
      </c>
      <c r="J139" s="112" t="s">
        <v>264</v>
      </c>
      <c r="K139" s="224"/>
      <c r="L139" s="228"/>
      <c r="M139" s="228"/>
      <c r="N139" s="432">
        <f>ROUND(12.3/2,1)</f>
        <v>6.2</v>
      </c>
      <c r="O139" s="432">
        <f>ROUND(12.3/2,1)-0.1</f>
        <v>6.1000000000000005</v>
      </c>
      <c r="P139" s="127">
        <v>0.5</v>
      </c>
      <c r="Q139" s="124">
        <v>4.5999999999999996</v>
      </c>
      <c r="R139" s="124">
        <v>6</v>
      </c>
      <c r="S139" s="124">
        <v>-7.1</v>
      </c>
      <c r="T139" s="124">
        <v>1.1000000000000001</v>
      </c>
      <c r="U139" s="124">
        <v>2.6</v>
      </c>
      <c r="V139" s="123">
        <v>6.9</v>
      </c>
      <c r="W139" s="432">
        <f>ROUND(0.6/6,1)</f>
        <v>0.1</v>
      </c>
      <c r="X139" s="432">
        <f t="shared" ref="X139:AB139" si="321">ROUND(0.6/6,1)</f>
        <v>0.1</v>
      </c>
      <c r="Y139" s="432">
        <f t="shared" si="321"/>
        <v>0.1</v>
      </c>
      <c r="Z139" s="432">
        <f t="shared" si="321"/>
        <v>0.1</v>
      </c>
      <c r="AA139" s="432">
        <f t="shared" si="321"/>
        <v>0.1</v>
      </c>
      <c r="AB139" s="432">
        <f t="shared" si="321"/>
        <v>0.1</v>
      </c>
      <c r="AC139" s="432">
        <f>ROUND(12.9/3,1)</f>
        <v>4.3</v>
      </c>
      <c r="AD139" s="432">
        <f t="shared" ref="AD139:AE139" si="322">ROUND(12.9/3,1)</f>
        <v>4.3</v>
      </c>
      <c r="AE139" s="432">
        <f t="shared" si="322"/>
        <v>4.3</v>
      </c>
      <c r="AF139" s="432">
        <f>ROUND(1.6/3,1)</f>
        <v>0.5</v>
      </c>
      <c r="AG139" s="432">
        <f t="shared" ref="AG139" si="323">ROUND(1.6/3,1)</f>
        <v>0.5</v>
      </c>
      <c r="AH139" s="432">
        <f>ROUND(1.6/3,1)+0.1</f>
        <v>0.6</v>
      </c>
      <c r="AI139" s="432">
        <f>ROUND(5.8/7,1)</f>
        <v>0.8</v>
      </c>
      <c r="AJ139" s="432">
        <f t="shared" ref="AJ139:AN139" si="324">ROUND(5.8/7,1)</f>
        <v>0.8</v>
      </c>
      <c r="AK139" s="432">
        <f t="shared" si="324"/>
        <v>0.8</v>
      </c>
      <c r="AL139" s="432">
        <f t="shared" si="324"/>
        <v>0.8</v>
      </c>
      <c r="AM139" s="432">
        <f t="shared" si="324"/>
        <v>0.8</v>
      </c>
      <c r="AN139" s="432">
        <f t="shared" si="324"/>
        <v>0.8</v>
      </c>
      <c r="AO139" s="432">
        <f>ROUND(5.8/7,1)+0.2</f>
        <v>1</v>
      </c>
      <c r="AP139" s="432">
        <f>ROUND(3.7/2,1)</f>
        <v>1.9</v>
      </c>
      <c r="AQ139" s="432">
        <f>ROUND(3.7/2,1)-0.1</f>
        <v>1.7999999999999998</v>
      </c>
      <c r="AR139" s="432">
        <f>ROUND(2.2/6,1)</f>
        <v>0.4</v>
      </c>
      <c r="AS139" s="432">
        <f t="shared" ref="AS139:AV139" si="325">ROUND(2.2/6,1)</f>
        <v>0.4</v>
      </c>
      <c r="AT139" s="432">
        <f t="shared" si="325"/>
        <v>0.4</v>
      </c>
      <c r="AU139" s="432">
        <f t="shared" si="325"/>
        <v>0.4</v>
      </c>
      <c r="AV139" s="432">
        <f t="shared" si="325"/>
        <v>0.4</v>
      </c>
      <c r="AW139" s="432">
        <f>ROUND(2.2/6,1)-0.2</f>
        <v>0.2</v>
      </c>
      <c r="AX139" s="432">
        <f>ROUND(-8/5,1)</f>
        <v>-1.6</v>
      </c>
      <c r="AY139" s="432">
        <f t="shared" ref="AY139:BB139" si="326">ROUND(-8/5,1)</f>
        <v>-1.6</v>
      </c>
      <c r="AZ139" s="432">
        <f t="shared" si="326"/>
        <v>-1.6</v>
      </c>
      <c r="BA139" s="432">
        <f t="shared" si="326"/>
        <v>-1.6</v>
      </c>
      <c r="BB139" s="432">
        <f t="shared" si="326"/>
        <v>-1.6</v>
      </c>
      <c r="BC139" s="122"/>
      <c r="BD139" s="122" t="s">
        <v>247</v>
      </c>
      <c r="BE139" s="142" t="s">
        <v>247</v>
      </c>
      <c r="BF139" s="379"/>
      <c r="BG139" s="368"/>
      <c r="BH139" s="333" t="str">
        <f ca="1">INDIRECT(ADDRESS(MATCH($B139,'【別紙1】標高（入力）'!$B:$B,0),'【別紙1】標高（入力）'!$N$2,4,TRUE,"【別紙1】標高（入力）"))</f>
        <v>R3</v>
      </c>
      <c r="BI139" s="340">
        <f ca="1">INDIRECT(ADDRESS(MATCH($B139,'【別紙1】標高（入力）'!$B:$B,0),'【別紙1】標高（入力）'!$O$2,4,TRUE,"【別紙1】標高（入力）"))</f>
        <v>5.0652999999999997</v>
      </c>
      <c r="BJ139" s="392"/>
    </row>
    <row r="140" spans="1:62" ht="15.95" customHeight="1">
      <c r="A140" s="119">
        <v>909</v>
      </c>
      <c r="B140" s="107" t="s">
        <v>360</v>
      </c>
      <c r="C140" s="114" t="s">
        <v>217</v>
      </c>
      <c r="D140" s="110" t="s">
        <v>692</v>
      </c>
      <c r="E140" s="109" t="s">
        <v>233</v>
      </c>
      <c r="F140" s="111" t="s">
        <v>12</v>
      </c>
      <c r="G140" s="112" t="s">
        <v>31</v>
      </c>
      <c r="H140" s="112" t="s">
        <v>541</v>
      </c>
      <c r="I140" s="112" t="s">
        <v>54</v>
      </c>
      <c r="J140" s="112" t="s">
        <v>264</v>
      </c>
      <c r="K140" s="224"/>
      <c r="L140" s="228"/>
      <c r="M140" s="228"/>
      <c r="N140" s="228"/>
      <c r="O140" s="228"/>
      <c r="P140" s="221"/>
      <c r="Q140" s="124">
        <v>2.2999999999999998</v>
      </c>
      <c r="R140" s="124">
        <v>4.5999999999999996</v>
      </c>
      <c r="S140" s="124">
        <v>-6.6</v>
      </c>
      <c r="T140" s="124">
        <v>-0.1</v>
      </c>
      <c r="U140" s="124">
        <v>1.8</v>
      </c>
      <c r="V140" s="123">
        <v>6.7</v>
      </c>
      <c r="W140" s="432">
        <f>ROUND(0.7/6,1)</f>
        <v>0.1</v>
      </c>
      <c r="X140" s="432">
        <f t="shared" ref="X140:AA140" si="327">ROUND(0.7/6,1)</f>
        <v>0.1</v>
      </c>
      <c r="Y140" s="432">
        <f t="shared" si="327"/>
        <v>0.1</v>
      </c>
      <c r="Z140" s="432">
        <f t="shared" si="327"/>
        <v>0.1</v>
      </c>
      <c r="AA140" s="432">
        <f t="shared" si="327"/>
        <v>0.1</v>
      </c>
      <c r="AB140" s="432">
        <f>ROUND(0.7/6,1)+0.1</f>
        <v>0.2</v>
      </c>
      <c r="AC140" s="432">
        <f>ROUND(12.2/3,1)</f>
        <v>4.0999999999999996</v>
      </c>
      <c r="AD140" s="432">
        <f t="shared" ref="AD140" si="328">ROUND(12.2/3,1)</f>
        <v>4.0999999999999996</v>
      </c>
      <c r="AE140" s="432">
        <f>ROUND(12.2/3,1)-0.1</f>
        <v>3.9999999999999996</v>
      </c>
      <c r="AF140" s="432">
        <f>ROUND(3.8/3,1)</f>
        <v>1.3</v>
      </c>
      <c r="AG140" s="432">
        <f t="shared" ref="AG140" si="329">ROUND(3.8/3,1)</f>
        <v>1.3</v>
      </c>
      <c r="AH140" s="432">
        <f>ROUND(3.8/3,1)-0.1</f>
        <v>1.2</v>
      </c>
      <c r="AI140" s="432">
        <f>ROUND(6.6/7,1)</f>
        <v>0.9</v>
      </c>
      <c r="AJ140" s="432">
        <f t="shared" ref="AJ140:AN140" si="330">ROUND(6.6/7,1)</f>
        <v>0.9</v>
      </c>
      <c r="AK140" s="432">
        <f t="shared" si="330"/>
        <v>0.9</v>
      </c>
      <c r="AL140" s="432">
        <f t="shared" si="330"/>
        <v>0.9</v>
      </c>
      <c r="AM140" s="432">
        <f t="shared" si="330"/>
        <v>0.9</v>
      </c>
      <c r="AN140" s="432">
        <f t="shared" si="330"/>
        <v>0.9</v>
      </c>
      <c r="AO140" s="432">
        <f>ROUND(6.6/7,1)+0.3</f>
        <v>1.2</v>
      </c>
      <c r="AP140" s="432">
        <f>ROUND(3.8/2,1)</f>
        <v>1.9</v>
      </c>
      <c r="AQ140" s="432">
        <f>ROUND(3.8/2,1)</f>
        <v>1.9</v>
      </c>
      <c r="AR140" s="432">
        <f>ROUND(5.1/6,1)</f>
        <v>0.9</v>
      </c>
      <c r="AS140" s="432">
        <f t="shared" ref="AS140:AV140" si="331">ROUND(5.1/6,1)</f>
        <v>0.9</v>
      </c>
      <c r="AT140" s="432">
        <f t="shared" si="331"/>
        <v>0.9</v>
      </c>
      <c r="AU140" s="432">
        <f t="shared" si="331"/>
        <v>0.9</v>
      </c>
      <c r="AV140" s="432">
        <f t="shared" si="331"/>
        <v>0.9</v>
      </c>
      <c r="AW140" s="432">
        <f>ROUND(5.1/6,1)-0.3</f>
        <v>0.60000000000000009</v>
      </c>
      <c r="AX140" s="432">
        <f>ROUND(-6.7/5,1)</f>
        <v>-1.3</v>
      </c>
      <c r="AY140" s="432">
        <f t="shared" ref="AY140:BA140" si="332">ROUND(-6.7/5,1)</f>
        <v>-1.3</v>
      </c>
      <c r="AZ140" s="432">
        <f t="shared" si="332"/>
        <v>-1.3</v>
      </c>
      <c r="BA140" s="432">
        <f t="shared" si="332"/>
        <v>-1.3</v>
      </c>
      <c r="BB140" s="432">
        <f>ROUND(-6.7/5,1)-0.2</f>
        <v>-1.5</v>
      </c>
      <c r="BC140" s="122"/>
      <c r="BD140" s="122" t="s">
        <v>247</v>
      </c>
      <c r="BE140" s="142" t="s">
        <v>247</v>
      </c>
      <c r="BF140" s="379"/>
      <c r="BG140" s="368"/>
      <c r="BH140" s="333" t="e">
        <f ca="1">INDIRECT(ADDRESS(MATCH($B140,'【別紙1】標高（入力）'!$B:$B,0),'【別紙1】標高（入力）'!$N$2,4,TRUE,"【別紙1】標高（入力）"))</f>
        <v>#N/A</v>
      </c>
      <c r="BI140" s="340" t="e">
        <f ca="1">INDIRECT(ADDRESS(MATCH($B140,'【別紙1】標高（入力）'!$B:$B,0),'【別紙1】標高（入力）'!$O$2,4,TRUE,"【別紙1】標高（入力）"))</f>
        <v>#N/A</v>
      </c>
      <c r="BJ140" s="392"/>
    </row>
    <row r="141" spans="1:62" ht="15.95" customHeight="1">
      <c r="A141" s="119">
        <v>910</v>
      </c>
      <c r="B141" s="107" t="s">
        <v>351</v>
      </c>
      <c r="C141" s="114" t="s">
        <v>217</v>
      </c>
      <c r="D141" s="110" t="s">
        <v>662</v>
      </c>
      <c r="E141" s="109" t="s">
        <v>299</v>
      </c>
      <c r="F141" s="111" t="s">
        <v>12</v>
      </c>
      <c r="G141" s="112" t="s">
        <v>10</v>
      </c>
      <c r="H141" s="112" t="s">
        <v>541</v>
      </c>
      <c r="I141" s="112" t="s">
        <v>284</v>
      </c>
      <c r="J141" s="112" t="s">
        <v>293</v>
      </c>
      <c r="K141" s="224"/>
      <c r="L141" s="228"/>
      <c r="M141" s="221"/>
      <c r="N141" s="124">
        <v>-7.7</v>
      </c>
      <c r="O141" s="124">
        <v>12.2</v>
      </c>
      <c r="P141" s="124">
        <v>0.3</v>
      </c>
      <c r="Q141" s="124">
        <v>0.4</v>
      </c>
      <c r="R141" s="124">
        <v>0.5</v>
      </c>
      <c r="S141" s="124">
        <v>-3.5</v>
      </c>
      <c r="T141" s="124">
        <v>1.1000000000000001</v>
      </c>
      <c r="U141" s="124">
        <v>-1.5</v>
      </c>
      <c r="V141" s="123">
        <v>1.9</v>
      </c>
      <c r="W141" s="432">
        <f>ROUND(0.9/6,1)</f>
        <v>0.2</v>
      </c>
      <c r="X141" s="432">
        <f t="shared" ref="X141:AA141" si="333">ROUND(0.9/6,1)</f>
        <v>0.2</v>
      </c>
      <c r="Y141" s="432">
        <f t="shared" si="333"/>
        <v>0.2</v>
      </c>
      <c r="Z141" s="432">
        <f t="shared" si="333"/>
        <v>0.2</v>
      </c>
      <c r="AA141" s="432">
        <f t="shared" si="333"/>
        <v>0.2</v>
      </c>
      <c r="AB141" s="432">
        <f>ROUND(0.9/6,1)-0.3</f>
        <v>-9.9999999999999978E-2</v>
      </c>
      <c r="AC141" s="432">
        <f>ROUND(3.1/3,1)</f>
        <v>1</v>
      </c>
      <c r="AD141" s="432">
        <f t="shared" ref="AD141" si="334">ROUND(3.1/3,1)</f>
        <v>1</v>
      </c>
      <c r="AE141" s="432">
        <f>ROUND(3.1/3,1)+0.1</f>
        <v>1.1000000000000001</v>
      </c>
      <c r="AF141" s="432">
        <f>ROUND(-4.8/3,1)</f>
        <v>-1.6</v>
      </c>
      <c r="AG141" s="432">
        <f t="shared" ref="AG141:AH141" si="335">ROUND(-4.8/3,1)</f>
        <v>-1.6</v>
      </c>
      <c r="AH141" s="432">
        <f t="shared" si="335"/>
        <v>-1.6</v>
      </c>
      <c r="AI141" s="432">
        <f>ROUND(10.6/7,1)</f>
        <v>1.5</v>
      </c>
      <c r="AJ141" s="432">
        <f t="shared" ref="AJ141:AN141" si="336">ROUND(10.6/7,1)</f>
        <v>1.5</v>
      </c>
      <c r="AK141" s="432">
        <f t="shared" si="336"/>
        <v>1.5</v>
      </c>
      <c r="AL141" s="432">
        <f t="shared" si="336"/>
        <v>1.5</v>
      </c>
      <c r="AM141" s="432">
        <f t="shared" si="336"/>
        <v>1.5</v>
      </c>
      <c r="AN141" s="432">
        <f t="shared" si="336"/>
        <v>1.5</v>
      </c>
      <c r="AO141" s="432">
        <f>ROUND(10.6/7,1)+0.1</f>
        <v>1.6</v>
      </c>
      <c r="AP141" s="432">
        <f>ROUND(4.4/2,1)</f>
        <v>2.2000000000000002</v>
      </c>
      <c r="AQ141" s="432">
        <f>ROUND(4.4/2,1)</f>
        <v>2.2000000000000002</v>
      </c>
      <c r="AR141" s="432">
        <f>ROUND(6.1/6,1)</f>
        <v>1</v>
      </c>
      <c r="AS141" s="432">
        <f t="shared" ref="AS141:AV141" si="337">ROUND(6.1/6,1)</f>
        <v>1</v>
      </c>
      <c r="AT141" s="432">
        <f t="shared" si="337"/>
        <v>1</v>
      </c>
      <c r="AU141" s="432">
        <f t="shared" si="337"/>
        <v>1</v>
      </c>
      <c r="AV141" s="432">
        <f t="shared" si="337"/>
        <v>1</v>
      </c>
      <c r="AW141" s="432">
        <f>ROUND(6.1/6,1)+0.1</f>
        <v>1.1000000000000001</v>
      </c>
      <c r="AX141" s="432">
        <f>ROUND(2/5,1)</f>
        <v>0.4</v>
      </c>
      <c r="AY141" s="432">
        <f t="shared" ref="AY141:BB141" si="338">ROUND(2/5,1)</f>
        <v>0.4</v>
      </c>
      <c r="AZ141" s="432">
        <f t="shared" si="338"/>
        <v>0.4</v>
      </c>
      <c r="BA141" s="432">
        <f t="shared" si="338"/>
        <v>0.4</v>
      </c>
      <c r="BB141" s="432">
        <f t="shared" si="338"/>
        <v>0.4</v>
      </c>
      <c r="BC141" s="122"/>
      <c r="BD141" s="122" t="s">
        <v>247</v>
      </c>
      <c r="BE141" s="142" t="s">
        <v>247</v>
      </c>
      <c r="BF141" s="379"/>
      <c r="BG141" s="368"/>
      <c r="BH141" s="333" t="e">
        <f ca="1">INDIRECT(ADDRESS(MATCH($B141,'【別紙1】標高（入力）'!$B:$B,0),'【別紙1】標高（入力）'!$N$2,4,TRUE,"【別紙1】標高（入力）"))</f>
        <v>#N/A</v>
      </c>
      <c r="BI141" s="340" t="e">
        <f ca="1">INDIRECT(ADDRESS(MATCH($B141,'【別紙1】標高（入力）'!$B:$B,0),'【別紙1】標高（入力）'!$O$2,4,TRUE,"【別紙1】標高（入力）"))</f>
        <v>#N/A</v>
      </c>
      <c r="BJ141" s="392"/>
    </row>
    <row r="142" spans="1:62" ht="15.95" customHeight="1">
      <c r="A142" s="119">
        <v>911</v>
      </c>
      <c r="B142" s="107" t="s">
        <v>363</v>
      </c>
      <c r="C142" s="114" t="s">
        <v>217</v>
      </c>
      <c r="D142" s="110" t="s">
        <v>675</v>
      </c>
      <c r="E142" s="109" t="s">
        <v>237</v>
      </c>
      <c r="F142" s="111" t="s">
        <v>70</v>
      </c>
      <c r="G142" s="112" t="s">
        <v>10</v>
      </c>
      <c r="H142" s="112" t="s">
        <v>541</v>
      </c>
      <c r="I142" s="112" t="s">
        <v>54</v>
      </c>
      <c r="J142" s="112" t="s">
        <v>264</v>
      </c>
      <c r="K142" s="224"/>
      <c r="L142" s="228"/>
      <c r="M142" s="221"/>
      <c r="N142" s="124">
        <v>44</v>
      </c>
      <c r="O142" s="124">
        <v>33.200000000000003</v>
      </c>
      <c r="P142" s="124">
        <v>22.1</v>
      </c>
      <c r="Q142" s="124">
        <v>41.5</v>
      </c>
      <c r="R142" s="124">
        <v>19.600000000000001</v>
      </c>
      <c r="S142" s="123">
        <v>-1</v>
      </c>
      <c r="T142" s="227" t="s">
        <v>1270</v>
      </c>
      <c r="U142" s="432">
        <f>ROUND(97.6/2,1)</f>
        <v>48.8</v>
      </c>
      <c r="V142" s="432">
        <f>ROUND(97.6/2,1)</f>
        <v>48.8</v>
      </c>
      <c r="W142" s="432">
        <f>ROUND(108.3/6,1)</f>
        <v>18.100000000000001</v>
      </c>
      <c r="X142" s="432">
        <f t="shared" ref="X142:AA142" si="339">ROUND(108.3/6,1)</f>
        <v>18.100000000000001</v>
      </c>
      <c r="Y142" s="432">
        <f t="shared" si="339"/>
        <v>18.100000000000001</v>
      </c>
      <c r="Z142" s="432">
        <f t="shared" si="339"/>
        <v>18.100000000000001</v>
      </c>
      <c r="AA142" s="432">
        <f t="shared" si="339"/>
        <v>18.100000000000001</v>
      </c>
      <c r="AB142" s="432">
        <f>ROUND(108.3/6,1)-0.3</f>
        <v>17.8</v>
      </c>
      <c r="AC142" s="432" t="s">
        <v>1273</v>
      </c>
      <c r="AD142" s="430"/>
      <c r="AE142" s="232" t="s">
        <v>1270</v>
      </c>
      <c r="AF142" s="432">
        <f>ROUND(48.3/3,1)</f>
        <v>16.100000000000001</v>
      </c>
      <c r="AG142" s="432">
        <f t="shared" ref="AG142:AH142" si="340">ROUND(48.3/3,1)</f>
        <v>16.100000000000001</v>
      </c>
      <c r="AH142" s="432">
        <f t="shared" si="340"/>
        <v>16.100000000000001</v>
      </c>
      <c r="AI142" s="432">
        <f>ROUND(45/6,1)</f>
        <v>7.5</v>
      </c>
      <c r="AJ142" s="432">
        <f t="shared" ref="AJ142:AN142" si="341">ROUND(45/6,1)</f>
        <v>7.5</v>
      </c>
      <c r="AK142" s="432">
        <f t="shared" si="341"/>
        <v>7.5</v>
      </c>
      <c r="AL142" s="432">
        <f t="shared" si="341"/>
        <v>7.5</v>
      </c>
      <c r="AM142" s="432">
        <f t="shared" si="341"/>
        <v>7.5</v>
      </c>
      <c r="AN142" s="432">
        <f t="shared" si="341"/>
        <v>7.5</v>
      </c>
      <c r="AO142" s="122">
        <v>11.8</v>
      </c>
      <c r="AP142" s="432">
        <f>ROUND(16.7/2,1)</f>
        <v>8.4</v>
      </c>
      <c r="AQ142" s="432">
        <f>ROUND(16.7/2,1)-0.1</f>
        <v>8.3000000000000007</v>
      </c>
      <c r="AR142" s="432">
        <f>ROUND(40.8/6,1)</f>
        <v>6.8</v>
      </c>
      <c r="AS142" s="432">
        <f t="shared" ref="AS142:AW142" si="342">ROUND(40.8/6,1)</f>
        <v>6.8</v>
      </c>
      <c r="AT142" s="432">
        <f t="shared" si="342"/>
        <v>6.8</v>
      </c>
      <c r="AU142" s="432">
        <f t="shared" si="342"/>
        <v>6.8</v>
      </c>
      <c r="AV142" s="432">
        <f t="shared" si="342"/>
        <v>6.8</v>
      </c>
      <c r="AW142" s="432">
        <f t="shared" si="342"/>
        <v>6.8</v>
      </c>
      <c r="AX142" s="432">
        <f>ROUND(10.5/5,1)</f>
        <v>2.1</v>
      </c>
      <c r="AY142" s="432">
        <f t="shared" ref="AY142:BB142" si="343">ROUND(10.5/5,1)</f>
        <v>2.1</v>
      </c>
      <c r="AZ142" s="432">
        <f t="shared" si="343"/>
        <v>2.1</v>
      </c>
      <c r="BA142" s="432">
        <f t="shared" si="343"/>
        <v>2.1</v>
      </c>
      <c r="BB142" s="432">
        <f t="shared" si="343"/>
        <v>2.1</v>
      </c>
      <c r="BC142" s="122"/>
      <c r="BD142" s="122" t="s">
        <v>247</v>
      </c>
      <c r="BE142" s="142" t="s">
        <v>247</v>
      </c>
      <c r="BF142" s="379"/>
      <c r="BG142" s="368"/>
      <c r="BH142" s="333" t="str">
        <f ca="1">INDIRECT(ADDRESS(MATCH($B142,'【別紙1】標高（入力）'!$B:$B,0),'【別紙1】標高（入力）'!$N$2,4,TRUE,"【別紙1】標高（入力）"))</f>
        <v>R5</v>
      </c>
      <c r="BI142" s="340">
        <f ca="1">INDIRECT(ADDRESS(MATCH($B142,'【別紙1】標高（入力）'!$B:$B,0),'【別紙1】標高（入力）'!$O$2,4,TRUE,"【別紙1】標高（入力）"))</f>
        <v>3.5257000000000001</v>
      </c>
      <c r="BJ142" s="392"/>
    </row>
    <row r="143" spans="1:62" ht="15.95" customHeight="1">
      <c r="A143" s="119">
        <v>1001</v>
      </c>
      <c r="B143" s="107" t="s">
        <v>516</v>
      </c>
      <c r="C143" s="114" t="s">
        <v>294</v>
      </c>
      <c r="D143" s="110" t="s">
        <v>663</v>
      </c>
      <c r="E143" s="109" t="s">
        <v>174</v>
      </c>
      <c r="F143" s="111" t="s">
        <v>9</v>
      </c>
      <c r="G143" s="112" t="s">
        <v>127</v>
      </c>
      <c r="H143" s="112" t="s">
        <v>541</v>
      </c>
      <c r="I143" s="112" t="s">
        <v>141</v>
      </c>
      <c r="J143" s="112" t="s">
        <v>270</v>
      </c>
      <c r="K143" s="224"/>
      <c r="L143" s="228"/>
      <c r="M143" s="228"/>
      <c r="N143" s="228"/>
      <c r="O143" s="228"/>
      <c r="P143" s="228"/>
      <c r="Q143" s="221"/>
      <c r="R143" s="123">
        <v>16.100000000000001</v>
      </c>
      <c r="S143" s="432">
        <f>ROUND(17.9/2,1)</f>
        <v>9</v>
      </c>
      <c r="T143" s="432">
        <f>ROUND(17.9/2,1)-0.1</f>
        <v>8.9</v>
      </c>
      <c r="U143" s="432">
        <f>ROUND(45.6/14,1)</f>
        <v>3.3</v>
      </c>
      <c r="V143" s="432">
        <f t="shared" ref="V143:AG143" si="344">ROUND(45.6/14,1)</f>
        <v>3.3</v>
      </c>
      <c r="W143" s="432">
        <f t="shared" si="344"/>
        <v>3.3</v>
      </c>
      <c r="X143" s="432">
        <f t="shared" si="344"/>
        <v>3.3</v>
      </c>
      <c r="Y143" s="432">
        <f t="shared" si="344"/>
        <v>3.3</v>
      </c>
      <c r="Z143" s="432">
        <f t="shared" si="344"/>
        <v>3.3</v>
      </c>
      <c r="AA143" s="432">
        <f t="shared" si="344"/>
        <v>3.3</v>
      </c>
      <c r="AB143" s="432">
        <f t="shared" si="344"/>
        <v>3.3</v>
      </c>
      <c r="AC143" s="432">
        <f t="shared" si="344"/>
        <v>3.3</v>
      </c>
      <c r="AD143" s="432">
        <f t="shared" si="344"/>
        <v>3.3</v>
      </c>
      <c r="AE143" s="432">
        <f t="shared" si="344"/>
        <v>3.3</v>
      </c>
      <c r="AF143" s="432">
        <f t="shared" si="344"/>
        <v>3.3</v>
      </c>
      <c r="AG143" s="432">
        <f t="shared" si="344"/>
        <v>3.3</v>
      </c>
      <c r="AH143" s="432">
        <f>ROUND(45.6/14,1)-0.6</f>
        <v>2.6999999999999997</v>
      </c>
      <c r="AI143" s="432">
        <f>ROUND(22.6/8,1)</f>
        <v>2.8</v>
      </c>
      <c r="AJ143" s="432">
        <f t="shared" ref="AJ143:AO143" si="345">ROUND(22.6/8,1)</f>
        <v>2.8</v>
      </c>
      <c r="AK143" s="432">
        <f t="shared" si="345"/>
        <v>2.8</v>
      </c>
      <c r="AL143" s="432">
        <f t="shared" si="345"/>
        <v>2.8</v>
      </c>
      <c r="AM143" s="432">
        <f t="shared" si="345"/>
        <v>2.8</v>
      </c>
      <c r="AN143" s="432">
        <f t="shared" si="345"/>
        <v>2.8</v>
      </c>
      <c r="AO143" s="432">
        <f t="shared" si="345"/>
        <v>2.8</v>
      </c>
      <c r="AP143" s="432">
        <f>ROUND(22.6/8,1)+0.2</f>
        <v>3</v>
      </c>
      <c r="AQ143" s="432">
        <f>ROUND(9.5/11,1)</f>
        <v>0.9</v>
      </c>
      <c r="AR143" s="432">
        <f t="shared" ref="AR143:AZ143" si="346">ROUND(9.5/11,1)</f>
        <v>0.9</v>
      </c>
      <c r="AS143" s="432">
        <f t="shared" si="346"/>
        <v>0.9</v>
      </c>
      <c r="AT143" s="432">
        <f t="shared" si="346"/>
        <v>0.9</v>
      </c>
      <c r="AU143" s="432">
        <f t="shared" si="346"/>
        <v>0.9</v>
      </c>
      <c r="AV143" s="432">
        <f t="shared" si="346"/>
        <v>0.9</v>
      </c>
      <c r="AW143" s="432">
        <f t="shared" si="346"/>
        <v>0.9</v>
      </c>
      <c r="AX143" s="432">
        <f t="shared" si="346"/>
        <v>0.9</v>
      </c>
      <c r="AY143" s="432">
        <f t="shared" si="346"/>
        <v>0.9</v>
      </c>
      <c r="AZ143" s="432">
        <f t="shared" si="346"/>
        <v>0.9</v>
      </c>
      <c r="BA143" s="432">
        <f>ROUND(9.5/11,1)-0.4</f>
        <v>0.5</v>
      </c>
      <c r="BB143" s="122"/>
      <c r="BC143" s="122"/>
      <c r="BD143" s="122" t="s">
        <v>247</v>
      </c>
      <c r="BE143" s="142" t="s">
        <v>247</v>
      </c>
      <c r="BF143" s="379"/>
      <c r="BG143" s="368"/>
      <c r="BH143" s="333" t="str">
        <f ca="1">INDIRECT(ADDRESS(MATCH($B143,'【別紙1】標高（入力）'!$B:$B,0),'【別紙1】標高（入力）'!$N$2,4,TRUE,"【別紙1】標高（入力）"))</f>
        <v>R4</v>
      </c>
      <c r="BI143" s="340">
        <f ca="1">INDIRECT(ADDRESS(MATCH($B143,'【別紙1】標高（入力）'!$B:$B,0),'【別紙1】標高（入力）'!$O$2,4,TRUE,"【別紙1】標高（入力）"))</f>
        <v>35.606699999999996</v>
      </c>
      <c r="BJ143" s="392"/>
    </row>
    <row r="144" spans="1:62" ht="15.95" customHeight="1">
      <c r="A144" s="119">
        <v>1002</v>
      </c>
      <c r="B144" s="107" t="s">
        <v>518</v>
      </c>
      <c r="C144" s="114" t="s">
        <v>294</v>
      </c>
      <c r="D144" s="110" t="s">
        <v>706</v>
      </c>
      <c r="E144" s="109" t="s">
        <v>176</v>
      </c>
      <c r="F144" s="111" t="s">
        <v>9</v>
      </c>
      <c r="G144" s="112" t="s">
        <v>127</v>
      </c>
      <c r="H144" s="112" t="s">
        <v>541</v>
      </c>
      <c r="I144" s="112" t="s">
        <v>141</v>
      </c>
      <c r="J144" s="112" t="s">
        <v>547</v>
      </c>
      <c r="K144" s="224"/>
      <c r="L144" s="228"/>
      <c r="M144" s="228"/>
      <c r="N144" s="228"/>
      <c r="O144" s="228"/>
      <c r="P144" s="228"/>
      <c r="Q144" s="221"/>
      <c r="R144" s="124">
        <v>5.3</v>
      </c>
      <c r="S144" s="233" t="s">
        <v>177</v>
      </c>
      <c r="T144" s="228"/>
      <c r="U144" s="228"/>
      <c r="V144" s="228"/>
      <c r="W144" s="228"/>
      <c r="X144" s="228"/>
      <c r="Y144" s="228"/>
      <c r="Z144" s="228"/>
      <c r="AA144" s="229"/>
      <c r="AB144" s="139" t="s">
        <v>37</v>
      </c>
      <c r="AC144" s="432">
        <f>ROUND(7/3,1)</f>
        <v>2.2999999999999998</v>
      </c>
      <c r="AD144" s="432">
        <f t="shared" ref="AD144" si="347">ROUND(7/3,1)</f>
        <v>2.2999999999999998</v>
      </c>
      <c r="AE144" s="432">
        <f>ROUND(7/3,1)+0.1</f>
        <v>2.4</v>
      </c>
      <c r="AF144" s="432">
        <f>ROUND(6.9/3,1)</f>
        <v>2.2999999999999998</v>
      </c>
      <c r="AG144" s="432">
        <f t="shared" ref="AG144:AH144" si="348">ROUND(6.9/3,1)</f>
        <v>2.2999999999999998</v>
      </c>
      <c r="AH144" s="432">
        <f t="shared" si="348"/>
        <v>2.2999999999999998</v>
      </c>
      <c r="AI144" s="432">
        <f>ROUND(27/8,1)</f>
        <v>3.4</v>
      </c>
      <c r="AJ144" s="432">
        <f t="shared" ref="AJ144:AO144" si="349">ROUND(27/8,1)</f>
        <v>3.4</v>
      </c>
      <c r="AK144" s="432">
        <f t="shared" si="349"/>
        <v>3.4</v>
      </c>
      <c r="AL144" s="432">
        <f t="shared" si="349"/>
        <v>3.4</v>
      </c>
      <c r="AM144" s="432">
        <f t="shared" si="349"/>
        <v>3.4</v>
      </c>
      <c r="AN144" s="432">
        <f t="shared" si="349"/>
        <v>3.4</v>
      </c>
      <c r="AO144" s="432">
        <f t="shared" si="349"/>
        <v>3.4</v>
      </c>
      <c r="AP144" s="432">
        <f>ROUND(27/8,1)-0.2</f>
        <v>3.1999999999999997</v>
      </c>
      <c r="AQ144" s="432">
        <f>ROUND(7.2/6,1)</f>
        <v>1.2</v>
      </c>
      <c r="AR144" s="432">
        <f t="shared" ref="AR144:AV144" si="350">ROUND(7.2/6,1)</f>
        <v>1.2</v>
      </c>
      <c r="AS144" s="432">
        <f t="shared" si="350"/>
        <v>1.2</v>
      </c>
      <c r="AT144" s="432">
        <f t="shared" si="350"/>
        <v>1.2</v>
      </c>
      <c r="AU144" s="432">
        <f t="shared" si="350"/>
        <v>1.2</v>
      </c>
      <c r="AV144" s="432">
        <f t="shared" si="350"/>
        <v>1.2</v>
      </c>
      <c r="AW144" s="432">
        <f>ROUND(6.9/5,1)</f>
        <v>1.4</v>
      </c>
      <c r="AX144" s="432">
        <f t="shared" ref="AX144:AZ144" si="351">ROUND(6.9/5,1)</f>
        <v>1.4</v>
      </c>
      <c r="AY144" s="432">
        <f t="shared" si="351"/>
        <v>1.4</v>
      </c>
      <c r="AZ144" s="432">
        <f t="shared" si="351"/>
        <v>1.4</v>
      </c>
      <c r="BA144" s="432">
        <f>ROUND(6.9/5,1)-0.1</f>
        <v>1.2999999999999998</v>
      </c>
      <c r="BB144" s="122"/>
      <c r="BC144" s="122"/>
      <c r="BD144" s="122" t="s">
        <v>247</v>
      </c>
      <c r="BE144" s="142" t="s">
        <v>247</v>
      </c>
      <c r="BF144" s="379"/>
      <c r="BG144" s="368"/>
      <c r="BH144" s="333" t="str">
        <f ca="1">INDIRECT(ADDRESS(MATCH($B144,'【別紙1】標高（入力）'!$B:$B,0),'【別紙1】標高（入力）'!$N$2,4,TRUE,"【別紙1】標高（入力）"))</f>
        <v>R4</v>
      </c>
      <c r="BI144" s="340">
        <f ca="1">INDIRECT(ADDRESS(MATCH($B144,'【別紙1】標高（入力）'!$B:$B,0),'【別紙1】標高（入力）'!$O$2,4,TRUE,"【別紙1】標高（入力）"))</f>
        <v>44.062100000000001</v>
      </c>
      <c r="BJ144" s="392"/>
    </row>
    <row r="145" spans="1:62" ht="15.95" customHeight="1">
      <c r="A145" s="119">
        <v>1003</v>
      </c>
      <c r="B145" s="107" t="s">
        <v>520</v>
      </c>
      <c r="C145" s="114" t="s">
        <v>294</v>
      </c>
      <c r="D145" s="110" t="s">
        <v>649</v>
      </c>
      <c r="E145" s="109" t="s">
        <v>179</v>
      </c>
      <c r="F145" s="111" t="s">
        <v>9</v>
      </c>
      <c r="G145" s="112" t="s">
        <v>10</v>
      </c>
      <c r="H145" s="112" t="s">
        <v>541</v>
      </c>
      <c r="I145" s="112" t="s">
        <v>141</v>
      </c>
      <c r="J145" s="112" t="s">
        <v>547</v>
      </c>
      <c r="K145" s="224"/>
      <c r="L145" s="228"/>
      <c r="M145" s="228"/>
      <c r="N145" s="432">
        <f>ROUND(8.4/3,1)</f>
        <v>2.8</v>
      </c>
      <c r="O145" s="432">
        <f>ROUND(8.4/3,1)</f>
        <v>2.8</v>
      </c>
      <c r="P145" s="432">
        <f>ROUND(8.4/3,1)</f>
        <v>2.8</v>
      </c>
      <c r="Q145" s="127">
        <v>1.1000000000000001</v>
      </c>
      <c r="R145" s="123">
        <v>6.4</v>
      </c>
      <c r="S145" s="432">
        <f>ROUND(2.6/2,1)</f>
        <v>1.3</v>
      </c>
      <c r="T145" s="432">
        <f>ROUND(2.6/2,1)</f>
        <v>1.3</v>
      </c>
      <c r="U145" s="432">
        <f>ROUND(17.3/8,1)</f>
        <v>2.2000000000000002</v>
      </c>
      <c r="V145" s="432">
        <f t="shared" ref="V145:AA145" si="352">ROUND(17.3/8,1)</f>
        <v>2.2000000000000002</v>
      </c>
      <c r="W145" s="432">
        <f t="shared" si="352"/>
        <v>2.2000000000000002</v>
      </c>
      <c r="X145" s="432">
        <f t="shared" si="352"/>
        <v>2.2000000000000002</v>
      </c>
      <c r="Y145" s="432">
        <f t="shared" si="352"/>
        <v>2.2000000000000002</v>
      </c>
      <c r="Z145" s="432">
        <f t="shared" si="352"/>
        <v>2.2000000000000002</v>
      </c>
      <c r="AA145" s="432">
        <f t="shared" si="352"/>
        <v>2.2000000000000002</v>
      </c>
      <c r="AB145" s="432">
        <f>ROUND(17.3/8,1)-0.3</f>
        <v>1.9000000000000001</v>
      </c>
      <c r="AC145" s="432">
        <f>ROUND(-1.2/3,1)</f>
        <v>-0.4</v>
      </c>
      <c r="AD145" s="432">
        <f t="shared" ref="AD145:AE145" si="353">ROUND(-1.2/3,1)</f>
        <v>-0.4</v>
      </c>
      <c r="AE145" s="432">
        <f t="shared" si="353"/>
        <v>-0.4</v>
      </c>
      <c r="AF145" s="432">
        <f>ROUND(5.9/3,1)</f>
        <v>2</v>
      </c>
      <c r="AG145" s="432">
        <f t="shared" ref="AG145" si="354">ROUND(5.9/3,1)</f>
        <v>2</v>
      </c>
      <c r="AH145" s="432">
        <f>ROUND(5.9/3,1)-0.1</f>
        <v>1.9</v>
      </c>
      <c r="AI145" s="432">
        <f>ROUND(32.3/8,1)</f>
        <v>4</v>
      </c>
      <c r="AJ145" s="432">
        <f t="shared" ref="AJ145:AO145" si="355">ROUND(32.3/8,1)</f>
        <v>4</v>
      </c>
      <c r="AK145" s="432">
        <f t="shared" si="355"/>
        <v>4</v>
      </c>
      <c r="AL145" s="432">
        <f t="shared" si="355"/>
        <v>4</v>
      </c>
      <c r="AM145" s="432">
        <f t="shared" si="355"/>
        <v>4</v>
      </c>
      <c r="AN145" s="432">
        <f t="shared" si="355"/>
        <v>4</v>
      </c>
      <c r="AO145" s="432">
        <f t="shared" si="355"/>
        <v>4</v>
      </c>
      <c r="AP145" s="432">
        <f>ROUND(32.3/8,1)+0.3</f>
        <v>4.3</v>
      </c>
      <c r="AQ145" s="432">
        <f>ROUND(-9.6/6,1)</f>
        <v>-1.6</v>
      </c>
      <c r="AR145" s="432">
        <f t="shared" ref="AR145:AV145" si="356">ROUND(-9.6/6,1)</f>
        <v>-1.6</v>
      </c>
      <c r="AS145" s="432">
        <f t="shared" si="356"/>
        <v>-1.6</v>
      </c>
      <c r="AT145" s="432">
        <f t="shared" si="356"/>
        <v>-1.6</v>
      </c>
      <c r="AU145" s="432">
        <f t="shared" si="356"/>
        <v>-1.6</v>
      </c>
      <c r="AV145" s="432">
        <f t="shared" si="356"/>
        <v>-1.6</v>
      </c>
      <c r="AW145" s="432">
        <f>ROUND(0.9/5,1)</f>
        <v>0.2</v>
      </c>
      <c r="AX145" s="432">
        <f t="shared" ref="AX145:AZ145" si="357">ROUND(0.9/5,1)</f>
        <v>0.2</v>
      </c>
      <c r="AY145" s="432">
        <f t="shared" si="357"/>
        <v>0.2</v>
      </c>
      <c r="AZ145" s="432">
        <f t="shared" si="357"/>
        <v>0.2</v>
      </c>
      <c r="BA145" s="432">
        <f>ROUND(0.9/5,1)-0.1</f>
        <v>0.1</v>
      </c>
      <c r="BB145" s="122"/>
      <c r="BC145" s="122"/>
      <c r="BD145" s="122" t="s">
        <v>247</v>
      </c>
      <c r="BE145" s="142" t="s">
        <v>247</v>
      </c>
      <c r="BF145" s="379"/>
      <c r="BG145" s="368"/>
      <c r="BH145" s="333" t="str">
        <f ca="1">INDIRECT(ADDRESS(MATCH($B145,'【別紙1】標高（入力）'!$B:$B,0),'【別紙1】標高（入力）'!$N$2,4,TRUE,"【別紙1】標高（入力）"))</f>
        <v>R4</v>
      </c>
      <c r="BI145" s="340">
        <f ca="1">INDIRECT(ADDRESS(MATCH($B145,'【別紙1】標高（入力）'!$B:$B,0),'【別紙1】標高（入力）'!$O$2,4,TRUE,"【別紙1】標高（入力）"))</f>
        <v>32.077300000000001</v>
      </c>
      <c r="BJ145" s="392"/>
    </row>
    <row r="147" spans="1:62">
      <c r="A147" s="101">
        <v>1</v>
      </c>
      <c r="B147" s="100" t="s">
        <v>1254</v>
      </c>
      <c r="C147" s="101">
        <v>3</v>
      </c>
      <c r="D147" s="102">
        <v>4</v>
      </c>
      <c r="E147" s="102">
        <v>5</v>
      </c>
      <c r="F147" s="101">
        <v>6</v>
      </c>
      <c r="G147" s="101">
        <v>7</v>
      </c>
      <c r="H147" s="101">
        <v>8</v>
      </c>
      <c r="I147" s="101">
        <v>9</v>
      </c>
      <c r="J147" s="101">
        <v>10</v>
      </c>
      <c r="K147" s="101">
        <v>11</v>
      </c>
      <c r="L147" s="101">
        <v>12</v>
      </c>
      <c r="M147" s="101">
        <v>13</v>
      </c>
      <c r="N147" s="101">
        <v>14</v>
      </c>
      <c r="O147" s="101">
        <v>15</v>
      </c>
      <c r="P147" s="101">
        <v>16</v>
      </c>
      <c r="Q147" s="101">
        <v>17</v>
      </c>
      <c r="R147" s="101">
        <v>18</v>
      </c>
      <c r="S147" s="101">
        <v>19</v>
      </c>
      <c r="T147" s="101">
        <v>20</v>
      </c>
      <c r="U147" s="101">
        <v>21</v>
      </c>
      <c r="V147" s="101">
        <v>22</v>
      </c>
      <c r="W147" s="101">
        <v>23</v>
      </c>
      <c r="X147" s="101">
        <v>24</v>
      </c>
      <c r="Y147" s="101">
        <v>25</v>
      </c>
      <c r="Z147" s="101">
        <v>26</v>
      </c>
      <c r="AA147" s="101">
        <v>27</v>
      </c>
      <c r="AB147" s="101">
        <v>28</v>
      </c>
      <c r="AC147" s="101">
        <v>29</v>
      </c>
      <c r="AD147" s="101">
        <v>30</v>
      </c>
      <c r="AE147" s="101">
        <v>31</v>
      </c>
      <c r="AF147" s="101">
        <v>32</v>
      </c>
      <c r="AG147" s="101">
        <v>33</v>
      </c>
      <c r="AH147" s="101">
        <v>34</v>
      </c>
      <c r="AI147" s="101">
        <v>35</v>
      </c>
      <c r="AJ147" s="101">
        <v>36</v>
      </c>
      <c r="AK147" s="101">
        <v>37</v>
      </c>
      <c r="AL147" s="101">
        <v>38</v>
      </c>
      <c r="AM147" s="101">
        <v>39</v>
      </c>
      <c r="AN147" s="101">
        <v>40</v>
      </c>
      <c r="AO147" s="101">
        <v>41</v>
      </c>
      <c r="AP147" s="101">
        <v>42</v>
      </c>
      <c r="AQ147" s="101">
        <v>43</v>
      </c>
      <c r="AR147" s="101">
        <v>44</v>
      </c>
      <c r="AS147" s="101">
        <v>45</v>
      </c>
      <c r="AT147" s="101">
        <v>46</v>
      </c>
      <c r="AU147" s="101">
        <v>47</v>
      </c>
      <c r="AV147" s="101">
        <v>48</v>
      </c>
      <c r="AW147" s="101">
        <v>49</v>
      </c>
      <c r="AX147" s="101">
        <v>50</v>
      </c>
      <c r="AY147" s="101">
        <v>51</v>
      </c>
      <c r="AZ147" s="101">
        <v>52</v>
      </c>
      <c r="BA147" s="101">
        <v>53</v>
      </c>
      <c r="BB147" s="101">
        <v>54</v>
      </c>
      <c r="BC147" s="101">
        <v>55</v>
      </c>
      <c r="BD147" s="101"/>
      <c r="BE147" s="101">
        <v>56</v>
      </c>
    </row>
    <row r="150" spans="1:62">
      <c r="AY150" s="404">
        <f t="shared" ref="AY150:BE150" si="358">COUNTA(AY5:AY145)-COUNTIF(AY5:AY145,"2年累積")-COUNTIF(AY5:AY145,"3年累積")-COUNTIF(AY5:AY145,"4年累積")-COUNTIF(AY5:AY145,"5年累積")</f>
        <v>120</v>
      </c>
      <c r="AZ150" s="404">
        <f t="shared" si="358"/>
        <v>120</v>
      </c>
      <c r="BA150" s="404">
        <f t="shared" si="358"/>
        <v>120</v>
      </c>
      <c r="BB150" s="404">
        <f t="shared" si="358"/>
        <v>107</v>
      </c>
      <c r="BC150" s="404">
        <f t="shared" si="358"/>
        <v>90</v>
      </c>
      <c r="BD150" s="404"/>
      <c r="BE150" s="403">
        <f t="shared" si="358"/>
        <v>121</v>
      </c>
    </row>
    <row r="151" spans="1:62">
      <c r="AX151" s="403" t="s">
        <v>530</v>
      </c>
      <c r="AY151" s="403">
        <f t="shared" ref="AY151:BE151" si="359">COUNTIF(AY5:AY145,"値付")</f>
        <v>2</v>
      </c>
      <c r="AZ151" s="403">
        <f t="shared" si="359"/>
        <v>0</v>
      </c>
      <c r="BA151" s="403">
        <f t="shared" si="359"/>
        <v>0</v>
      </c>
      <c r="BB151" s="403">
        <f t="shared" si="359"/>
        <v>0</v>
      </c>
      <c r="BC151" s="403">
        <f t="shared" si="359"/>
        <v>1</v>
      </c>
      <c r="BD151" s="403"/>
      <c r="BE151" s="403">
        <f t="shared" si="359"/>
        <v>0</v>
      </c>
    </row>
    <row r="152" spans="1:62">
      <c r="AX152" s="403" t="s">
        <v>1258</v>
      </c>
      <c r="AY152" s="404">
        <f t="shared" ref="AY152:BE152" si="360">AY150-AY151</f>
        <v>118</v>
      </c>
      <c r="AZ152" s="404">
        <f t="shared" si="360"/>
        <v>120</v>
      </c>
      <c r="BA152" s="403">
        <f t="shared" si="360"/>
        <v>120</v>
      </c>
      <c r="BB152" s="403">
        <f t="shared" si="360"/>
        <v>107</v>
      </c>
      <c r="BC152" s="403">
        <f t="shared" si="360"/>
        <v>89</v>
      </c>
      <c r="BD152" s="403"/>
      <c r="BE152" s="403">
        <f t="shared" si="360"/>
        <v>121</v>
      </c>
    </row>
  </sheetData>
  <autoFilter ref="A4:BJ145" xr:uid="{00000000-0009-0000-0000-000006000000}"/>
  <mergeCells count="13">
    <mergeCell ref="F3:F4"/>
    <mergeCell ref="A3:A4"/>
    <mergeCell ref="B3:B4"/>
    <mergeCell ref="C3:C4"/>
    <mergeCell ref="D3:D4"/>
    <mergeCell ref="E3:E4"/>
    <mergeCell ref="BJ3:BJ4"/>
    <mergeCell ref="G3:G4"/>
    <mergeCell ref="H3:H4"/>
    <mergeCell ref="I3:I4"/>
    <mergeCell ref="J3:J4"/>
    <mergeCell ref="BF3:BG3"/>
    <mergeCell ref="BH3:BI3"/>
  </mergeCells>
  <phoneticPr fontId="1"/>
  <printOptions horizontalCentered="1"/>
  <pageMargins left="1.1811023622047245" right="0.39370078740157483" top="0.74803149606299213" bottom="0.39370078740157483" header="0.11811023622047245" footer="0.11811023622047245"/>
  <pageSetup paperSize="8" scale="35" fitToHeight="0" orientation="landscape" r:id="rId1"/>
  <headerFooter alignWithMargins="0"/>
  <rowBreaks count="1" manualBreakCount="1">
    <brk id="86" max="5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FC64-C908-41E9-A81D-8512FD2F10DE}">
  <sheetPr>
    <pageSetUpPr fitToPage="1"/>
  </sheetPr>
  <dimension ref="A1:BO158"/>
  <sheetViews>
    <sheetView showGridLines="0" view="pageBreakPreview" zoomScale="85" zoomScaleNormal="85" zoomScaleSheetLayoutView="85" workbookViewId="0">
      <pane xSplit="10" ySplit="4" topLeftCell="K5" activePane="bottomRight" state="frozen"/>
      <selection activeCell="F24" sqref="F1:F1048576"/>
      <selection pane="topRight" activeCell="F24" sqref="F1:F1048576"/>
      <selection pane="bottomLeft" activeCell="F24" sqref="F1:F1048576"/>
      <selection pane="bottomRight" activeCell="F24" sqref="F1:F1048576"/>
    </sheetView>
  </sheetViews>
  <sheetFormatPr defaultRowHeight="14.25"/>
  <cols>
    <col min="1" max="1" width="5.625" style="101" customWidth="1"/>
    <col min="2" max="2" width="9.25" style="100" customWidth="1"/>
    <col min="3" max="3" width="5.625" style="101" customWidth="1"/>
    <col min="4" max="5" width="25.625" style="102" customWidth="1"/>
    <col min="6" max="7" width="5.625" style="101" customWidth="1"/>
    <col min="8" max="8" width="0.375" style="101" customWidth="1"/>
    <col min="9" max="10" width="10.625" style="101" customWidth="1"/>
    <col min="11" max="28" width="8.125" style="102" customWidth="1"/>
    <col min="29" max="34" width="8.125" style="103" customWidth="1"/>
    <col min="35" max="40" width="8.125" style="102" customWidth="1"/>
    <col min="41" max="46" width="8.125" style="103" customWidth="1"/>
    <col min="47" max="62" width="8.125" style="104" customWidth="1"/>
    <col min="63" max="64" width="11.375" style="104" customWidth="1"/>
    <col min="65" max="65" width="5.625" style="330" customWidth="1"/>
    <col min="66" max="66" width="10.625" style="345" customWidth="1"/>
    <col min="67" max="67" width="20.625" style="103" customWidth="1"/>
    <col min="68" max="68" width="11.25" style="102" customWidth="1"/>
    <col min="69" max="16384" width="9" style="102"/>
  </cols>
  <sheetData>
    <row r="1" spans="1:67" ht="28.5">
      <c r="A1" s="105" t="s">
        <v>1496</v>
      </c>
      <c r="D1" s="99"/>
      <c r="BN1" s="337"/>
      <c r="BO1" s="97" t="s">
        <v>1250</v>
      </c>
    </row>
    <row r="2" spans="1:67" s="325" customFormat="1" ht="12" customHeight="1">
      <c r="B2" s="326"/>
      <c r="AC2" s="327"/>
      <c r="AD2" s="327"/>
      <c r="AE2" s="327"/>
      <c r="AF2" s="327"/>
      <c r="AG2" s="327"/>
      <c r="AH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31"/>
      <c r="BN2" s="338"/>
      <c r="BO2" s="328"/>
    </row>
    <row r="3" spans="1:67" s="98" customFormat="1" ht="15.95" customHeight="1">
      <c r="A3" s="707" t="s">
        <v>601</v>
      </c>
      <c r="B3" s="717" t="s">
        <v>521</v>
      </c>
      <c r="C3" s="711" t="s">
        <v>635</v>
      </c>
      <c r="D3" s="707" t="s">
        <v>606</v>
      </c>
      <c r="E3" s="718" t="s">
        <v>608</v>
      </c>
      <c r="F3" s="709" t="s">
        <v>2</v>
      </c>
      <c r="G3" s="707" t="s">
        <v>3</v>
      </c>
      <c r="H3" s="707" t="s">
        <v>4</v>
      </c>
      <c r="I3" s="707" t="s">
        <v>5</v>
      </c>
      <c r="J3" s="707" t="s">
        <v>262</v>
      </c>
      <c r="K3" s="648" t="s">
        <v>19</v>
      </c>
      <c r="L3" s="648" t="s">
        <v>609</v>
      </c>
      <c r="M3" s="648" t="s">
        <v>10</v>
      </c>
      <c r="N3" s="648" t="s">
        <v>73</v>
      </c>
      <c r="O3" s="648" t="s">
        <v>223</v>
      </c>
      <c r="P3" s="648" t="s">
        <v>31</v>
      </c>
      <c r="Q3" s="648" t="s">
        <v>127</v>
      </c>
      <c r="R3" s="648" t="s">
        <v>610</v>
      </c>
      <c r="S3" s="648" t="s">
        <v>611</v>
      </c>
      <c r="T3" s="648" t="s">
        <v>612</v>
      </c>
      <c r="U3" s="648" t="s">
        <v>613</v>
      </c>
      <c r="V3" s="648" t="s">
        <v>614</v>
      </c>
      <c r="W3" s="648" t="s">
        <v>615</v>
      </c>
      <c r="X3" s="648" t="s">
        <v>616</v>
      </c>
      <c r="Y3" s="648" t="s">
        <v>617</v>
      </c>
      <c r="Z3" s="648" t="s">
        <v>618</v>
      </c>
      <c r="AA3" s="648" t="s">
        <v>1255</v>
      </c>
      <c r="AB3" s="648" t="s">
        <v>619</v>
      </c>
      <c r="AC3" s="648" t="s">
        <v>620</v>
      </c>
      <c r="AD3" s="648" t="s">
        <v>621</v>
      </c>
      <c r="AE3" s="648" t="s">
        <v>622</v>
      </c>
      <c r="AF3" s="648" t="s">
        <v>36</v>
      </c>
      <c r="AG3" s="648" t="s">
        <v>623</v>
      </c>
      <c r="AH3" s="382" t="s">
        <v>545</v>
      </c>
      <c r="AI3" s="648" t="s">
        <v>255</v>
      </c>
      <c r="AJ3" s="648" t="s">
        <v>624</v>
      </c>
      <c r="AK3" s="648" t="s">
        <v>625</v>
      </c>
      <c r="AL3" s="648" t="s">
        <v>626</v>
      </c>
      <c r="AM3" s="648" t="s">
        <v>627</v>
      </c>
      <c r="AN3" s="648" t="s">
        <v>543</v>
      </c>
      <c r="AO3" s="648" t="s">
        <v>628</v>
      </c>
      <c r="AP3" s="648" t="s">
        <v>555</v>
      </c>
      <c r="AQ3" s="648" t="s">
        <v>343</v>
      </c>
      <c r="AR3" s="648" t="s">
        <v>345</v>
      </c>
      <c r="AS3" s="648" t="s">
        <v>629</v>
      </c>
      <c r="AT3" s="648" t="s">
        <v>554</v>
      </c>
      <c r="AU3" s="648" t="s">
        <v>630</v>
      </c>
      <c r="AV3" s="648" t="s">
        <v>556</v>
      </c>
      <c r="AW3" s="648" t="s">
        <v>550</v>
      </c>
      <c r="AX3" s="648" t="s">
        <v>552</v>
      </c>
      <c r="AY3" s="648" t="s">
        <v>553</v>
      </c>
      <c r="AZ3" s="648" t="s">
        <v>551</v>
      </c>
      <c r="BA3" s="648" t="s">
        <v>548</v>
      </c>
      <c r="BB3" s="648" t="s">
        <v>549</v>
      </c>
      <c r="BC3" s="382" t="s">
        <v>535</v>
      </c>
      <c r="BD3" s="382" t="s">
        <v>536</v>
      </c>
      <c r="BE3" s="648" t="s">
        <v>1284</v>
      </c>
      <c r="BF3" s="650" t="s">
        <v>1294</v>
      </c>
      <c r="BG3" s="650" t="s">
        <v>1293</v>
      </c>
      <c r="BH3" s="648" t="s">
        <v>1292</v>
      </c>
      <c r="BI3" s="622" t="s">
        <v>1291</v>
      </c>
      <c r="BJ3" s="629" t="s">
        <v>1548</v>
      </c>
      <c r="BK3" s="715" t="s">
        <v>1086</v>
      </c>
      <c r="BL3" s="716"/>
      <c r="BM3" s="713" t="s">
        <v>632</v>
      </c>
      <c r="BN3" s="714"/>
      <c r="BO3" s="711" t="s">
        <v>605</v>
      </c>
    </row>
    <row r="4" spans="1:67" s="96" customFormat="1" ht="15.95" customHeight="1">
      <c r="A4" s="708"/>
      <c r="B4" s="717"/>
      <c r="C4" s="712"/>
      <c r="D4" s="708"/>
      <c r="E4" s="719"/>
      <c r="F4" s="710"/>
      <c r="G4" s="708"/>
      <c r="H4" s="708"/>
      <c r="I4" s="708"/>
      <c r="J4" s="708"/>
      <c r="K4" s="120">
        <v>1973</v>
      </c>
      <c r="L4" s="649">
        <v>1974</v>
      </c>
      <c r="M4" s="120">
        <v>1975</v>
      </c>
      <c r="N4" s="649">
        <v>1976</v>
      </c>
      <c r="O4" s="120">
        <v>1977</v>
      </c>
      <c r="P4" s="649">
        <v>1978</v>
      </c>
      <c r="Q4" s="120">
        <v>1979</v>
      </c>
      <c r="R4" s="649">
        <v>1980</v>
      </c>
      <c r="S4" s="120">
        <v>1981</v>
      </c>
      <c r="T4" s="649">
        <v>1982</v>
      </c>
      <c r="U4" s="120">
        <v>1983</v>
      </c>
      <c r="V4" s="649">
        <v>1984</v>
      </c>
      <c r="W4" s="120">
        <v>1985</v>
      </c>
      <c r="X4" s="649">
        <v>1986</v>
      </c>
      <c r="Y4" s="120">
        <v>1987</v>
      </c>
      <c r="Z4" s="649">
        <v>1988</v>
      </c>
      <c r="AA4" s="120">
        <v>1989</v>
      </c>
      <c r="AB4" s="649">
        <v>1990</v>
      </c>
      <c r="AC4" s="120">
        <v>1991</v>
      </c>
      <c r="AD4" s="649">
        <v>1992</v>
      </c>
      <c r="AE4" s="120">
        <v>1993</v>
      </c>
      <c r="AF4" s="649">
        <v>1994</v>
      </c>
      <c r="AG4" s="120">
        <v>1995</v>
      </c>
      <c r="AH4" s="120">
        <v>1996</v>
      </c>
      <c r="AI4" s="120">
        <v>1997</v>
      </c>
      <c r="AJ4" s="649">
        <v>1998</v>
      </c>
      <c r="AK4" s="120">
        <v>1999</v>
      </c>
      <c r="AL4" s="649">
        <v>2000</v>
      </c>
      <c r="AM4" s="120">
        <v>2001</v>
      </c>
      <c r="AN4" s="649">
        <v>2002</v>
      </c>
      <c r="AO4" s="120">
        <v>2003</v>
      </c>
      <c r="AP4" s="649">
        <v>2004</v>
      </c>
      <c r="AQ4" s="120">
        <v>2005</v>
      </c>
      <c r="AR4" s="649">
        <v>2006</v>
      </c>
      <c r="AS4" s="120">
        <v>2007</v>
      </c>
      <c r="AT4" s="649">
        <v>2008</v>
      </c>
      <c r="AU4" s="120">
        <v>2009</v>
      </c>
      <c r="AV4" s="649">
        <v>2010</v>
      </c>
      <c r="AW4" s="120">
        <v>2011</v>
      </c>
      <c r="AX4" s="649">
        <v>2012</v>
      </c>
      <c r="AY4" s="120">
        <v>2013</v>
      </c>
      <c r="AZ4" s="649">
        <v>2014</v>
      </c>
      <c r="BA4" s="120">
        <v>2015</v>
      </c>
      <c r="BB4" s="649">
        <v>2016</v>
      </c>
      <c r="BC4" s="120">
        <v>2017</v>
      </c>
      <c r="BD4" s="120">
        <v>2018</v>
      </c>
      <c r="BE4" s="649">
        <v>2019</v>
      </c>
      <c r="BF4" s="651">
        <v>2020</v>
      </c>
      <c r="BG4" s="651">
        <v>2021</v>
      </c>
      <c r="BH4" s="649">
        <v>2021</v>
      </c>
      <c r="BI4" s="623">
        <v>2024</v>
      </c>
      <c r="BJ4" s="630">
        <v>2025</v>
      </c>
      <c r="BK4" s="454" t="s">
        <v>1549</v>
      </c>
      <c r="BL4" s="455" t="s">
        <v>1320</v>
      </c>
      <c r="BM4" s="332" t="s">
        <v>634</v>
      </c>
      <c r="BN4" s="339" t="s">
        <v>631</v>
      </c>
      <c r="BO4" s="712"/>
    </row>
    <row r="5" spans="1:67" ht="15.95" customHeight="1">
      <c r="A5" s="118">
        <v>101</v>
      </c>
      <c r="B5" s="107" t="s">
        <v>582</v>
      </c>
      <c r="C5" s="114" t="s">
        <v>6</v>
      </c>
      <c r="D5" s="110" t="s">
        <v>7</v>
      </c>
      <c r="E5" s="109" t="s">
        <v>8</v>
      </c>
      <c r="F5" s="106" t="s">
        <v>9</v>
      </c>
      <c r="G5" s="108" t="s">
        <v>10</v>
      </c>
      <c r="H5" s="108" t="s">
        <v>541</v>
      </c>
      <c r="I5" s="108" t="s">
        <v>11</v>
      </c>
      <c r="J5" s="108" t="s">
        <v>263</v>
      </c>
      <c r="K5" s="224"/>
      <c r="L5" s="228"/>
      <c r="M5" s="221"/>
      <c r="N5" s="124">
        <v>1.3</v>
      </c>
      <c r="O5" s="124">
        <v>-4.7</v>
      </c>
      <c r="P5" s="124">
        <v>15</v>
      </c>
      <c r="Q5" s="124">
        <v>6.6</v>
      </c>
      <c r="R5" s="124">
        <v>2.5</v>
      </c>
      <c r="S5" s="124">
        <v>-1.9</v>
      </c>
      <c r="T5" s="124">
        <v>4.0999999999999996</v>
      </c>
      <c r="U5" s="124">
        <v>1.9</v>
      </c>
      <c r="V5" s="124">
        <v>2.5</v>
      </c>
      <c r="W5" s="124">
        <v>13.1</v>
      </c>
      <c r="X5" s="124">
        <v>-2.5</v>
      </c>
      <c r="Y5" s="124">
        <v>-9.5</v>
      </c>
      <c r="Z5" s="136" t="s">
        <v>1273</v>
      </c>
      <c r="AA5" s="122"/>
      <c r="AB5" s="127">
        <v>15.3</v>
      </c>
      <c r="AC5" s="124">
        <v>8.5</v>
      </c>
      <c r="AD5" s="124">
        <v>0</v>
      </c>
      <c r="AE5" s="124">
        <v>-1.9</v>
      </c>
      <c r="AF5" s="124">
        <v>6.3</v>
      </c>
      <c r="AG5" s="124">
        <v>4.8</v>
      </c>
      <c r="AH5" s="123">
        <v>-5.7</v>
      </c>
      <c r="AI5" s="125">
        <v>10.4</v>
      </c>
      <c r="AJ5" s="123">
        <v>-1.4</v>
      </c>
      <c r="AK5" s="123">
        <v>-2.1</v>
      </c>
      <c r="AL5" s="123">
        <v>6.1</v>
      </c>
      <c r="AM5" s="124">
        <v>1.0999999999974399</v>
      </c>
      <c r="AN5" s="123">
        <v>-6.5</v>
      </c>
      <c r="AO5" s="125">
        <v>9.6999999999999993</v>
      </c>
      <c r="AP5" s="126">
        <v>6.1</v>
      </c>
      <c r="AQ5" s="139" t="s">
        <v>1068</v>
      </c>
      <c r="AR5" s="122"/>
      <c r="AS5" s="121">
        <v>6.4</v>
      </c>
      <c r="AT5" s="122">
        <v>3.3</v>
      </c>
      <c r="AU5" s="125">
        <v>-1.9</v>
      </c>
      <c r="AV5" s="125">
        <v>2</v>
      </c>
      <c r="AW5" s="139" t="s">
        <v>1068</v>
      </c>
      <c r="AX5" s="122"/>
      <c r="AY5" s="122">
        <v>2</v>
      </c>
      <c r="AZ5" s="139" t="s">
        <v>1069</v>
      </c>
      <c r="BA5" s="122">
        <v>0.4</v>
      </c>
      <c r="BB5" s="139" t="s">
        <v>1068</v>
      </c>
      <c r="BC5" s="122"/>
      <c r="BD5" s="122">
        <f ca="1">INDIRECT(ADDRESS(MATCH($B5,'【別紙1】標高（入力）'!$B:$B,0),'【別紙1】標高（入力）'!AD$2,4,TRUE,"【別紙1】標高（入力）"))</f>
        <v>1.200000000000756</v>
      </c>
      <c r="BE5" s="139" t="s">
        <v>1333</v>
      </c>
      <c r="BF5" s="121">
        <f ca="1">INDIRECT(ADDRESS(MATCH($B5,'【別紙1】標高（入力）'!$B:$B,0),'【別紙1】標高（入力）'!AF$2,4,TRUE,"【別紙1】標高（入力）"))</f>
        <v>3.0999999999998806</v>
      </c>
      <c r="BG5" s="135" t="s">
        <v>1514</v>
      </c>
      <c r="BH5" s="122" t="s">
        <v>247</v>
      </c>
      <c r="BI5" s="122">
        <f ca="1">INDIRECT(ADDRESS(MATCH($B5,'【別紙1】標高（入力）'!$B:$B,0),'【別紙1】標高（入力）'!AI$2,4,TRUE,"【別紙1】標高（入力）"))</f>
        <v>2.500000000001279</v>
      </c>
      <c r="BJ5" s="659" t="str">
        <f ca="1">INDIRECT(ADDRESS(MATCH($B5,'【別紙1】標高（入力）'!$B:$B,0),'【別紙1】標高（入力）'!AJ$2,4,TRUE,"【別紙1】標高（入力）"))</f>
        <v/>
      </c>
      <c r="BK5" s="598" t="str">
        <f ca="1">IF(AND(ISNUMBER(BI5)*1,ISNUMBER(BH5)*1),BI5,"-")</f>
        <v>-</v>
      </c>
      <c r="BL5" s="604">
        <f ca="1">SUM(K5:BJ5)</f>
        <v>98.099999999999341</v>
      </c>
      <c r="BM5" s="600" t="str">
        <f ca="1">INDIRECT(ADDRESS(MATCH($B5,'【別紙1】標高（入力）'!$B:$B,0),'【別紙1】標高（入力）'!$N$2,4,TRUE,"【別紙1】標高（入力）"))</f>
        <v>R5</v>
      </c>
      <c r="BN5" s="340">
        <f ca="1">INDIRECT(ADDRESS(MATCH($B5,'【別紙1】標高（入力）'!$B:$B,0),'【別紙1】標高（入力）'!$O$2,4,TRUE,"【別紙1】標高（入力）"))</f>
        <v>16.055299999999999</v>
      </c>
      <c r="BO5" s="392"/>
    </row>
    <row r="6" spans="1:67" ht="15.95" customHeight="1">
      <c r="A6" s="119">
        <v>102</v>
      </c>
      <c r="B6" s="591">
        <v>8561</v>
      </c>
      <c r="C6" s="114" t="s">
        <v>6</v>
      </c>
      <c r="D6" s="110" t="s">
        <v>693</v>
      </c>
      <c r="E6" s="597" t="s">
        <v>1400</v>
      </c>
      <c r="F6" s="111" t="s">
        <v>12</v>
      </c>
      <c r="G6" s="112" t="s">
        <v>10</v>
      </c>
      <c r="H6" s="112" t="s">
        <v>541</v>
      </c>
      <c r="I6" s="112" t="s">
        <v>11</v>
      </c>
      <c r="J6" s="112" t="s">
        <v>263</v>
      </c>
      <c r="K6" s="224"/>
      <c r="L6" s="228"/>
      <c r="M6" s="221"/>
      <c r="N6" s="124">
        <v>-4.2</v>
      </c>
      <c r="O6" s="124">
        <v>-2.6</v>
      </c>
      <c r="P6" s="124">
        <v>12.1</v>
      </c>
      <c r="Q6" s="124">
        <v>6.1</v>
      </c>
      <c r="R6" s="124">
        <v>1.6</v>
      </c>
      <c r="S6" s="124">
        <v>-2.9</v>
      </c>
      <c r="T6" s="124">
        <v>3.2</v>
      </c>
      <c r="U6" s="124">
        <v>0.5</v>
      </c>
      <c r="V6" s="124">
        <v>1.5</v>
      </c>
      <c r="W6" s="124">
        <v>13.5</v>
      </c>
      <c r="X6" s="124">
        <v>-4.0999999999999996</v>
      </c>
      <c r="Y6" s="124">
        <v>-10.7</v>
      </c>
      <c r="Z6" s="124">
        <v>7.9</v>
      </c>
      <c r="AA6" s="124">
        <v>5.6</v>
      </c>
      <c r="AB6" s="124">
        <v>-1.7</v>
      </c>
      <c r="AC6" s="124">
        <v>6</v>
      </c>
      <c r="AD6" s="124">
        <v>-1.1000000000000001</v>
      </c>
      <c r="AE6" s="124">
        <v>-3.3</v>
      </c>
      <c r="AF6" s="124">
        <v>5.7</v>
      </c>
      <c r="AG6" s="124">
        <v>4.5</v>
      </c>
      <c r="AH6" s="123">
        <v>-5.7</v>
      </c>
      <c r="AI6" s="125">
        <v>9.1999999999999993</v>
      </c>
      <c r="AJ6" s="122">
        <v>-0.9</v>
      </c>
      <c r="AK6" s="122">
        <v>-2.9</v>
      </c>
      <c r="AL6" s="122">
        <v>6</v>
      </c>
      <c r="AM6" s="122">
        <v>1.10000000000099</v>
      </c>
      <c r="AN6" s="138" t="s">
        <v>256</v>
      </c>
      <c r="AO6" s="125">
        <v>9.4</v>
      </c>
      <c r="AP6" s="138" t="s">
        <v>260</v>
      </c>
      <c r="AQ6" s="139" t="s">
        <v>1068</v>
      </c>
      <c r="AR6" s="122"/>
      <c r="AS6" s="121">
        <v>0.2</v>
      </c>
      <c r="AT6" s="122">
        <v>3.1</v>
      </c>
      <c r="AU6" s="125">
        <v>-4.5999999999999996</v>
      </c>
      <c r="AV6" s="125">
        <v>1.4</v>
      </c>
      <c r="AW6" s="139" t="s">
        <v>1068</v>
      </c>
      <c r="AX6" s="122"/>
      <c r="AY6" s="122">
        <v>1.1000000000000001</v>
      </c>
      <c r="AZ6" s="139" t="s">
        <v>1069</v>
      </c>
      <c r="BA6" s="122">
        <v>-1.1000000000000001</v>
      </c>
      <c r="BB6" s="139" t="s">
        <v>1068</v>
      </c>
      <c r="BC6" s="122"/>
      <c r="BD6" s="122">
        <f ca="1">INDIRECT(ADDRESS(MATCH($B6,'【別紙1】標高（入力）'!$B:$B,0),'【別紙1】標高（入力）'!AD$2,4,TRUE,"【別紙1】標高（入力）"))</f>
        <v>0</v>
      </c>
      <c r="BE6" s="139" t="s">
        <v>1333</v>
      </c>
      <c r="BF6" s="121">
        <f ca="1">INDIRECT(ADDRESS(MATCH($B6,'【別紙1】標高（入力）'!$B:$B,0),'【別紙1】標高（入力）'!AF$2,4,TRUE,"【別紙1】標高（入力）"))</f>
        <v>3.0999999999998806</v>
      </c>
      <c r="BG6" s="135" t="s">
        <v>1514</v>
      </c>
      <c r="BH6" s="122" t="s">
        <v>247</v>
      </c>
      <c r="BI6" s="121">
        <f ca="1">INDIRECT(ADDRESS(MATCH($B6,'【別紙1】標高（入力）'!$B:$B,0),'【別紙1】標高（入力）'!AI$2,4,TRUE,"【別紙1】標高（入力）"))</f>
        <v>-0.19999999999953388</v>
      </c>
      <c r="BJ6" s="624" t="str">
        <f ca="1">INDIRECT(ADDRESS(MATCH($B6,'【別紙1】標高（入力）'!$B:$B,0),'【別紙1】標高（入力）'!AJ$2,4,TRUE,"【別紙1】標高（入力）"))</f>
        <v/>
      </c>
      <c r="BK6" s="598" t="str">
        <f ca="1">IF(AND(ISNUMBER(BI6)*1,ISNUMBER(BH6)*1),BI6,"-")</f>
        <v>-</v>
      </c>
      <c r="BL6" s="604">
        <f ca="1">SUM(K6:BI6)</f>
        <v>56.80000000000134</v>
      </c>
      <c r="BM6" s="600" t="str">
        <f ca="1">INDIRECT(ADDRESS(MATCH($B6,'【別紙1】標高（入力）'!$B:$B,0),'【別紙1】標高（入力）'!$N$2,4,TRUE,"【別紙1】標高（入力）"))</f>
        <v>R5</v>
      </c>
      <c r="BN6" s="340">
        <f ca="1">INDIRECT(ADDRESS(MATCH($B6,'【別紙1】標高（入力）'!$B:$B,0),'【別紙1】標高（入力）'!$O$2,4,TRUE,"【別紙1】標高（入力）"))</f>
        <v>17.855399999999999</v>
      </c>
      <c r="BO6" s="392"/>
    </row>
    <row r="7" spans="1:67" ht="15.95" customHeight="1">
      <c r="A7" s="119">
        <v>103</v>
      </c>
      <c r="B7" s="107" t="s">
        <v>583</v>
      </c>
      <c r="C7" s="114" t="s">
        <v>6</v>
      </c>
      <c r="D7" s="110" t="s">
        <v>677</v>
      </c>
      <c r="E7" s="109" t="s">
        <v>14</v>
      </c>
      <c r="F7" s="111" t="s">
        <v>9</v>
      </c>
      <c r="G7" s="112" t="s">
        <v>10</v>
      </c>
      <c r="H7" s="112" t="s">
        <v>541</v>
      </c>
      <c r="I7" s="112" t="s">
        <v>11</v>
      </c>
      <c r="J7" s="112" t="s">
        <v>263</v>
      </c>
      <c r="K7" s="224"/>
      <c r="L7" s="228"/>
      <c r="M7" s="221"/>
      <c r="N7" s="124">
        <v>0</v>
      </c>
      <c r="O7" s="124">
        <v>4</v>
      </c>
      <c r="P7" s="124">
        <v>16.3</v>
      </c>
      <c r="Q7" s="124">
        <v>8.1999999999999993</v>
      </c>
      <c r="R7" s="124">
        <v>5.4</v>
      </c>
      <c r="S7" s="124">
        <v>1.6</v>
      </c>
      <c r="T7" s="124">
        <v>7.4</v>
      </c>
      <c r="U7" s="124">
        <v>5.5</v>
      </c>
      <c r="V7" s="124">
        <v>6.2</v>
      </c>
      <c r="W7" s="124">
        <v>17.5</v>
      </c>
      <c r="X7" s="124">
        <v>0.6</v>
      </c>
      <c r="Y7" s="124">
        <v>-7.2</v>
      </c>
      <c r="Z7" s="136" t="s">
        <v>1276</v>
      </c>
      <c r="AA7" s="122"/>
      <c r="AB7" s="122"/>
      <c r="AC7" s="122"/>
      <c r="AD7" s="122"/>
      <c r="AE7" s="122"/>
      <c r="AF7" s="122"/>
      <c r="AG7" s="122"/>
      <c r="AH7" s="122">
        <v>46.7</v>
      </c>
      <c r="AI7" s="139" t="s">
        <v>695</v>
      </c>
      <c r="AJ7" s="122"/>
      <c r="AK7" s="122"/>
      <c r="AL7" s="122"/>
      <c r="AM7" s="122"/>
      <c r="AN7" s="122"/>
      <c r="AO7" s="121">
        <v>41.8</v>
      </c>
      <c r="AP7" s="126">
        <v>6.5</v>
      </c>
      <c r="AQ7" s="135" t="s">
        <v>1070</v>
      </c>
      <c r="AR7" s="122"/>
      <c r="AS7" s="122"/>
      <c r="AT7" s="122"/>
      <c r="AU7" s="122">
        <v>22.8</v>
      </c>
      <c r="AV7" s="126">
        <v>4.7</v>
      </c>
      <c r="AW7" s="139" t="s">
        <v>1068</v>
      </c>
      <c r="AX7" s="122"/>
      <c r="AY7" s="122">
        <v>10.199999999999999</v>
      </c>
      <c r="AZ7" s="139" t="s">
        <v>1069</v>
      </c>
      <c r="BA7" s="122">
        <v>6.7</v>
      </c>
      <c r="BB7" s="139" t="s">
        <v>1334</v>
      </c>
      <c r="BC7" s="122"/>
      <c r="BD7" s="122">
        <f ca="1">INDIRECT(ADDRESS(MATCH($B7,'【別紙1】標高（入力）'!$B:$B,0),'【別紙1】標高（入力）'!AD$2,4,TRUE,"【別紙1】標高（入力）"))</f>
        <v>10.900000000003018</v>
      </c>
      <c r="BE7" s="139"/>
      <c r="BF7" s="138" t="s">
        <v>1339</v>
      </c>
      <c r="BG7" s="135" t="s">
        <v>1514</v>
      </c>
      <c r="BH7" s="122" t="s">
        <v>247</v>
      </c>
      <c r="BI7" s="121">
        <f ca="1">INDIRECT(ADDRESS(MATCH($B7,'【別紙1】標高（入力）'!$B:$B,0),'【別紙1】標高（入力）'!AI$2,4,TRUE,"【別紙1】標高（入力）"))</f>
        <v>0.49999999999883471</v>
      </c>
      <c r="BJ7" s="624" t="str">
        <f ca="1">INDIRECT(ADDRESS(MATCH($B7,'【別紙1】標高（入力）'!$B:$B,0),'【別紙1】標高（入力）'!AJ$2,4,TRUE,"【別紙1】標高（入力）"))</f>
        <v/>
      </c>
      <c r="BK7" s="598" t="str">
        <f ca="1">IF(AND(ISNUMBER(BI7)*1,ISNUMBER(BH7)*1),BI7,"-")</f>
        <v>-</v>
      </c>
      <c r="BL7" s="604">
        <f ca="1">SUM(K7:BI7)</f>
        <v>216.30000000000183</v>
      </c>
      <c r="BM7" s="600" t="str">
        <f ca="1">INDIRECT(ADDRESS(MATCH($B7,'【別紙1】標高（入力）'!$B:$B,0),'【別紙1】標高（入力）'!$N$2,4,TRUE,"【別紙1】標高（入力）"))</f>
        <v>R5</v>
      </c>
      <c r="BN7" s="340">
        <f ca="1">INDIRECT(ADDRESS(MATCH($B7,'【別紙1】標高（入力）'!$B:$B,0),'【別紙1】標高（入力）'!$O$2,4,TRUE,"【別紙1】標高（入力）"))</f>
        <v>17.549900000000001</v>
      </c>
      <c r="BO7" s="392" t="s">
        <v>1350</v>
      </c>
    </row>
    <row r="8" spans="1:67" s="231" customFormat="1" ht="15.95" customHeight="1">
      <c r="A8" s="214">
        <v>104</v>
      </c>
      <c r="B8" s="215" t="s">
        <v>584</v>
      </c>
      <c r="C8" s="216" t="s">
        <v>6</v>
      </c>
      <c r="D8" s="217" t="s">
        <v>650</v>
      </c>
      <c r="E8" s="218" t="s">
        <v>16</v>
      </c>
      <c r="F8" s="219" t="s">
        <v>9</v>
      </c>
      <c r="G8" s="220" t="s">
        <v>10</v>
      </c>
      <c r="H8" s="220" t="s">
        <v>541</v>
      </c>
      <c r="I8" s="220" t="s">
        <v>11</v>
      </c>
      <c r="J8" s="220" t="s">
        <v>263</v>
      </c>
      <c r="K8" s="224"/>
      <c r="L8" s="228"/>
      <c r="M8" s="221"/>
      <c r="N8" s="222">
        <v>-4.7</v>
      </c>
      <c r="O8" s="222">
        <v>0.9</v>
      </c>
      <c r="P8" s="222">
        <v>9.6</v>
      </c>
      <c r="Q8" s="222">
        <v>4.0999999999999996</v>
      </c>
      <c r="R8" s="222">
        <v>0.3</v>
      </c>
      <c r="S8" s="222">
        <v>-4.0999999999999996</v>
      </c>
      <c r="T8" s="222">
        <v>4</v>
      </c>
      <c r="U8" s="222">
        <v>1.9</v>
      </c>
      <c r="V8" s="222">
        <v>3.9</v>
      </c>
      <c r="W8" s="222">
        <v>16.2</v>
      </c>
      <c r="X8" s="222">
        <v>-2.5</v>
      </c>
      <c r="Y8" s="222">
        <v>-10.1</v>
      </c>
      <c r="Z8" s="222">
        <v>4.5</v>
      </c>
      <c r="AA8" s="222">
        <v>4.5</v>
      </c>
      <c r="AB8" s="222">
        <v>-2.6</v>
      </c>
      <c r="AC8" s="222">
        <v>6.8</v>
      </c>
      <c r="AD8" s="222">
        <v>-2.1</v>
      </c>
      <c r="AE8" s="222">
        <v>-3.7</v>
      </c>
      <c r="AF8" s="222">
        <v>5.0999999999999996</v>
      </c>
      <c r="AG8" s="222">
        <v>5</v>
      </c>
      <c r="AH8" s="224">
        <v>-5.6</v>
      </c>
      <c r="AI8" s="225">
        <v>9.4</v>
      </c>
      <c r="AJ8" s="223">
        <v>-0.7</v>
      </c>
      <c r="AK8" s="223">
        <v>-3.1</v>
      </c>
      <c r="AL8" s="224">
        <v>6.2</v>
      </c>
      <c r="AM8" s="222">
        <v>9.99999999997669E-2</v>
      </c>
      <c r="AN8" s="224">
        <v>-7.6</v>
      </c>
      <c r="AO8" s="225">
        <v>9.1</v>
      </c>
      <c r="AP8" s="226">
        <v>5.3</v>
      </c>
      <c r="AQ8" s="227" t="s">
        <v>1068</v>
      </c>
      <c r="AR8" s="228"/>
      <c r="AS8" s="229">
        <v>1</v>
      </c>
      <c r="AT8" s="228">
        <v>2.6</v>
      </c>
      <c r="AU8" s="225">
        <v>-3.8</v>
      </c>
      <c r="AV8" s="225">
        <v>2.1</v>
      </c>
      <c r="AW8" s="227" t="s">
        <v>1068</v>
      </c>
      <c r="AX8" s="228"/>
      <c r="AY8" s="228">
        <v>2.4</v>
      </c>
      <c r="AZ8" s="226">
        <v>-1.3</v>
      </c>
      <c r="BA8" s="226">
        <v>0.6</v>
      </c>
      <c r="BB8" s="228"/>
      <c r="BC8" s="228"/>
      <c r="BD8" s="228" t="str">
        <f ca="1">INDIRECT(ADDRESS(MATCH($B8,'【別紙1】標高（入力）'!$B:$B,0),'【別紙1】標高（入力）'!AD$2,4,TRUE,"【別紙1】標高（入力）"))</f>
        <v/>
      </c>
      <c r="BE8" s="228" t="str">
        <f ca="1">INDIRECT(ADDRESS(MATCH($B8,'【別紙1】標高（入力）'!$B:$B,0),'【別紙1】標高（入力）'!AE$2,4,TRUE,"【別紙1】標高（入力）"))</f>
        <v/>
      </c>
      <c r="BF8" s="228" t="str">
        <f ca="1">INDIRECT(ADDRESS(MATCH($B8,'【別紙1】標高（入力）'!$B:$B,0),'【別紙1】標高（入力）'!AF$2,4,TRUE,"【別紙1】標高（入力）"))</f>
        <v/>
      </c>
      <c r="BG8" s="228" t="str">
        <f ca="1">INDIRECT(ADDRESS(MATCH($B8,'【別紙1】標高（入力）'!$B:$B,0),'【別紙1】標高（入力）'!AG$2,4,TRUE,"【別紙1】標高（入力）"))</f>
        <v/>
      </c>
      <c r="BH8" s="625" t="str">
        <f ca="1">INDIRECT(ADDRESS(MATCH($B8,'【別紙1】標高（入力）'!$B:$B,0),'【別紙1】標高（入力）'!AH$2,4,TRUE,"【別紙1】標高（入力）"))</f>
        <v/>
      </c>
      <c r="BI8" s="228"/>
      <c r="BJ8" s="570" t="str">
        <f ca="1">INDIRECT(ADDRESS(MATCH($B8,'【別紙1】標高（入力）'!$B:$B,0),'【別紙1】標高（入力）'!AJ$2,4,TRUE,"【別紙1】標高（入力）"))</f>
        <v/>
      </c>
      <c r="BK8" s="599" t="str">
        <f t="shared" ref="BK8:BK69" ca="1" si="0">IF(AND(ISNUMBER(BH8)*1,ISNUMBER(BG8)*1),BH8,"-")</f>
        <v>-</v>
      </c>
      <c r="BL8" s="605">
        <f t="shared" ref="BL8:BL69" ca="1" si="1">SUM(K8:BH8)</f>
        <v>53.699999999999761</v>
      </c>
      <c r="BM8" s="601" t="str">
        <f ca="1">INDIRECT(ADDRESS(MATCH($B8,'【別紙1】標高（入力）'!$B:$B,0),'【別紙1】標高（入力）'!$N$2,4,TRUE,"【別紙1】標高（入力）"))</f>
        <v>H27</v>
      </c>
      <c r="BN8" s="341">
        <f ca="1">INDIRECT(ADDRESS(MATCH($B8,'【別紙1】標高（入力）'!$B:$B,0),'【別紙1】標高（入力）'!$O$2,4,TRUE,"【別紙1】標高（入力）"))</f>
        <v>15.850899999999999</v>
      </c>
      <c r="BO8" s="393" t="s">
        <v>1377</v>
      </c>
    </row>
    <row r="9" spans="1:67" ht="15.95" customHeight="1">
      <c r="A9" s="119">
        <v>105</v>
      </c>
      <c r="B9" s="107" t="s">
        <v>585</v>
      </c>
      <c r="C9" s="114" t="s">
        <v>6</v>
      </c>
      <c r="D9" s="596" t="s">
        <v>1391</v>
      </c>
      <c r="E9" s="109" t="s">
        <v>18</v>
      </c>
      <c r="F9" s="111" t="s">
        <v>12</v>
      </c>
      <c r="G9" s="112" t="s">
        <v>19</v>
      </c>
      <c r="H9" s="112" t="s">
        <v>541</v>
      </c>
      <c r="I9" s="112" t="s">
        <v>11</v>
      </c>
      <c r="J9" s="112" t="s">
        <v>263</v>
      </c>
      <c r="K9" s="222"/>
      <c r="L9" s="124">
        <v>17.3</v>
      </c>
      <c r="M9" s="124">
        <v>-3.9</v>
      </c>
      <c r="N9" s="124">
        <v>-5.8</v>
      </c>
      <c r="O9" s="124">
        <v>1.3</v>
      </c>
      <c r="P9" s="124">
        <v>7.9</v>
      </c>
      <c r="Q9" s="124">
        <v>2.9</v>
      </c>
      <c r="R9" s="123">
        <v>-0.5</v>
      </c>
      <c r="S9" s="227" t="s">
        <v>20</v>
      </c>
      <c r="T9" s="228"/>
      <c r="U9" s="228"/>
      <c r="V9" s="228"/>
      <c r="W9" s="229"/>
      <c r="X9" s="405" t="s">
        <v>21</v>
      </c>
      <c r="Y9" s="124">
        <v>-11.9</v>
      </c>
      <c r="Z9" s="224"/>
      <c r="AA9" s="221"/>
      <c r="AB9" s="129" t="s">
        <v>260</v>
      </c>
      <c r="AC9" s="124">
        <v>15.1</v>
      </c>
      <c r="AD9" s="124">
        <v>-4</v>
      </c>
      <c r="AE9" s="124">
        <v>-5.3</v>
      </c>
      <c r="AF9" s="124">
        <v>6.7</v>
      </c>
      <c r="AG9" s="124">
        <v>2.9</v>
      </c>
      <c r="AH9" s="123">
        <v>-6.1</v>
      </c>
      <c r="AI9" s="126">
        <v>8.4</v>
      </c>
      <c r="AJ9" s="128">
        <v>-1.2</v>
      </c>
      <c r="AK9" s="128">
        <v>-3.6</v>
      </c>
      <c r="AL9" s="123">
        <v>5.3</v>
      </c>
      <c r="AM9" s="124">
        <v>0.70000000000192097</v>
      </c>
      <c r="AN9" s="123">
        <v>-7.4</v>
      </c>
      <c r="AO9" s="125">
        <v>7.9</v>
      </c>
      <c r="AP9" s="126">
        <v>1.4</v>
      </c>
      <c r="AQ9" s="139" t="s">
        <v>1068</v>
      </c>
      <c r="AR9" s="122"/>
      <c r="AS9" s="121">
        <v>2.2000000000000002</v>
      </c>
      <c r="AT9" s="126">
        <v>1.8</v>
      </c>
      <c r="AU9" s="135" t="s">
        <v>1070</v>
      </c>
      <c r="AV9" s="122"/>
      <c r="AW9" s="122"/>
      <c r="AX9" s="122"/>
      <c r="AY9" s="122">
        <v>-3</v>
      </c>
      <c r="AZ9" s="126">
        <v>-0.7</v>
      </c>
      <c r="BA9" s="126">
        <v>0</v>
      </c>
      <c r="BB9" s="126">
        <v>-0.4</v>
      </c>
      <c r="BC9" s="139" t="s">
        <v>1069</v>
      </c>
      <c r="BD9" s="122">
        <f ca="1">INDIRECT(ADDRESS(MATCH($B9,'【別紙1】標高（入力）'!$B:$B,0),'【別紙1】標高（入力）'!AD$2,4,TRUE,"【別紙1】標高（入力）"))</f>
        <v>-0.19999999999953388</v>
      </c>
      <c r="BE9" s="126">
        <f ca="1">INDIRECT(ADDRESS(MATCH($B9,'【別紙1】標高（入力）'!$B:$B,0),'【別紙1】標高（入力）'!AE$2,4,TRUE,"【別紙1】標高（入力）"))</f>
        <v>2.6000000000010459</v>
      </c>
      <c r="BF9" s="121">
        <f ca="1">INDIRECT(ADDRESS(MATCH($B9,'【別紙1】標高（入力）'!$B:$B,0),'【別紙1】標高（入力）'!AF$2,4,TRUE,"【別紙1】標高（入力）"))</f>
        <v>1.1000000000009891</v>
      </c>
      <c r="BG9" s="660" t="s">
        <v>1551</v>
      </c>
      <c r="BH9" s="632" t="str">
        <f ca="1">INDIRECT(ADDRESS(MATCH($B9,'【別紙1】標高（入力）'!$B:$B,0),'【別紙1】標高（入力）'!AH$2,4,TRUE,"【別紙1】標高（入力）"))</f>
        <v/>
      </c>
      <c r="BI9" s="632"/>
      <c r="BJ9" s="569">
        <f ca="1">INDIRECT(ADDRESS(MATCH($B9,'【別紙1】標高（入力）'!$B:$B,0),'【別紙1】標高（入力）'!AJ$2,4,TRUE,"【別紙1】標高（入力）"))</f>
        <v>-0.19999999999953388</v>
      </c>
      <c r="BK9" s="598" t="str">
        <f t="shared" ref="BK9:BK15" ca="1" si="2">IF(AND(ISNUMBER(BI9)*1,ISNUMBER(BH9)*1),BI9,"-")</f>
        <v>-</v>
      </c>
      <c r="BL9" s="604">
        <f t="shared" ref="BL9:BL15" ca="1" si="3">SUM(K9:BI9)</f>
        <v>31.500000000004416</v>
      </c>
      <c r="BM9" s="600" t="str">
        <f ca="1">INDIRECT(ADDRESS(MATCH($B9,'【別紙1】標高（入力）'!$B:$B,0),'【別紙1】標高（入力）'!$N$2,4,TRUE,"【別紙1】標高（入力）"))</f>
        <v>R2</v>
      </c>
      <c r="BN9" s="340">
        <f ca="1">INDIRECT(ADDRESS(MATCH($B9,'【別紙1】標高（入力）'!$B:$B,0),'【別紙1】標高（入力）'!$O$2,4,TRUE,"【別紙1】標高（入力）"))</f>
        <v>17.899899999999999</v>
      </c>
      <c r="BO9" s="392"/>
    </row>
    <row r="10" spans="1:67" ht="14.25" customHeight="1">
      <c r="A10" s="119">
        <v>106</v>
      </c>
      <c r="B10" s="107" t="s">
        <v>411</v>
      </c>
      <c r="C10" s="114" t="s">
        <v>6</v>
      </c>
      <c r="D10" s="110" t="s">
        <v>664</v>
      </c>
      <c r="E10" s="109" t="s">
        <v>24</v>
      </c>
      <c r="F10" s="111" t="s">
        <v>12</v>
      </c>
      <c r="G10" s="112" t="s">
        <v>19</v>
      </c>
      <c r="H10" s="112" t="s">
        <v>541</v>
      </c>
      <c r="I10" s="112" t="s">
        <v>11</v>
      </c>
      <c r="J10" s="112" t="s">
        <v>263</v>
      </c>
      <c r="K10" s="222"/>
      <c r="L10" s="124">
        <v>16.7</v>
      </c>
      <c r="M10" s="124">
        <v>-4.7</v>
      </c>
      <c r="N10" s="124">
        <v>-5.7</v>
      </c>
      <c r="O10" s="136" t="s">
        <v>636</v>
      </c>
      <c r="P10" s="127">
        <v>9.8000000000000007</v>
      </c>
      <c r="Q10" s="124">
        <v>3.5</v>
      </c>
      <c r="R10" s="124">
        <v>-1.6</v>
      </c>
      <c r="S10" s="124">
        <v>-3.4</v>
      </c>
      <c r="T10" s="124">
        <v>4.5999999999999996</v>
      </c>
      <c r="U10" s="124">
        <v>0.8</v>
      </c>
      <c r="V10" s="124">
        <v>3.5</v>
      </c>
      <c r="W10" s="124">
        <v>13</v>
      </c>
      <c r="X10" s="124">
        <v>-1.2</v>
      </c>
      <c r="Y10" s="124">
        <v>-12.7</v>
      </c>
      <c r="Z10" s="406">
        <v>5.0999999999999996</v>
      </c>
      <c r="AA10" s="406">
        <v>5.0999999999999996</v>
      </c>
      <c r="AB10" s="124">
        <v>-3.7</v>
      </c>
      <c r="AC10" s="124">
        <v>7</v>
      </c>
      <c r="AD10" s="124">
        <v>-3.4</v>
      </c>
      <c r="AE10" s="124">
        <v>-6.1</v>
      </c>
      <c r="AF10" s="124">
        <v>6.2</v>
      </c>
      <c r="AG10" s="124">
        <v>4.3</v>
      </c>
      <c r="AH10" s="123">
        <v>-6.5</v>
      </c>
      <c r="AI10" s="125">
        <v>8.3000000000000007</v>
      </c>
      <c r="AJ10" s="128">
        <v>-1.4</v>
      </c>
      <c r="AK10" s="128">
        <v>-3.9</v>
      </c>
      <c r="AL10" s="123">
        <v>4.4000000000000004</v>
      </c>
      <c r="AM10" s="124">
        <v>0.70000000000192097</v>
      </c>
      <c r="AN10" s="123">
        <v>-7</v>
      </c>
      <c r="AO10" s="125">
        <v>8.6999999999999993</v>
      </c>
      <c r="AP10" s="126">
        <v>5.7</v>
      </c>
      <c r="AQ10" s="139" t="s">
        <v>1071</v>
      </c>
      <c r="AR10" s="122"/>
      <c r="AS10" s="122"/>
      <c r="AT10" s="121">
        <v>0.7</v>
      </c>
      <c r="AU10" s="135" t="s">
        <v>1070</v>
      </c>
      <c r="AV10" s="122"/>
      <c r="AW10" s="122"/>
      <c r="AX10" s="122"/>
      <c r="AY10" s="122">
        <v>-3.9</v>
      </c>
      <c r="AZ10" s="126">
        <v>-1.1000000000000001</v>
      </c>
      <c r="BA10" s="126">
        <v>0.1</v>
      </c>
      <c r="BB10" s="126">
        <v>-0.9</v>
      </c>
      <c r="BC10" s="139" t="s">
        <v>1069</v>
      </c>
      <c r="BD10" s="122">
        <f ca="1">INDIRECT(ADDRESS(MATCH($B10,'【別紙1】標高（入力）'!$B:$B,0),'【別紙1】標高（入力）'!AD$2,4,TRUE,"【別紙1】標高（入力）"))</f>
        <v>-0.49999999999883471</v>
      </c>
      <c r="BE10" s="126">
        <f ca="1">INDIRECT(ADDRESS(MATCH($B10,'【別紙1】標高（入力）'!$B:$B,0),'【別紙1】標高（入力）'!AE$2,4,TRUE,"【別紙1】標高（入力）"))</f>
        <v>3.9000000000015689</v>
      </c>
      <c r="BF10" s="121">
        <f ca="1">INDIRECT(ADDRESS(MATCH($B10,'【別紙1】標高（入力）'!$B:$B,0),'【別紙1】標高（入力）'!AF$2,4,TRUE,"【別紙1】標高（入力）"))</f>
        <v>0.79999999999813554</v>
      </c>
      <c r="BG10" s="135" t="s">
        <v>1514</v>
      </c>
      <c r="BH10" s="122" t="s">
        <v>247</v>
      </c>
      <c r="BI10" s="122">
        <f ca="1">INDIRECT(ADDRESS(MATCH($B10,'【別紙1】標高（入力）'!$B:$B,0),'【別紙1】標高（入力）'!AI$2,4,TRUE,"【別紙1】標高（入力）"))</f>
        <v>-3.3999999999991815</v>
      </c>
      <c r="BJ10" s="658">
        <f ca="1">INDIRECT(ADDRESS(MATCH($B10,'【別紙1】標高（入力）'!$B:$B,0),'【別紙1】標高（入力）'!AJ$2,4,TRUE,"【別紙1】標高（入力）"))</f>
        <v>1.5000000000000568</v>
      </c>
      <c r="BK10" s="598" t="str">
        <f t="shared" ca="1" si="2"/>
        <v>-</v>
      </c>
      <c r="BL10" s="604">
        <f t="shared" ca="1" si="3"/>
        <v>41.800000000003607</v>
      </c>
      <c r="BM10" s="600" t="str">
        <f ca="1">INDIRECT(ADDRESS(MATCH($B10,'【別紙1】標高（入力）'!$B:$B,0),'【別紙1】標高（入力）'!$N$2,4,TRUE,"【別紙1】標高（入力）"))</f>
        <v>R5</v>
      </c>
      <c r="BN10" s="340">
        <f ca="1">INDIRECT(ADDRESS(MATCH($B10,'【別紙1】標高（入力）'!$B:$B,0),'【別紙1】標高（入力）'!$O$2,4,TRUE,"【別紙1】標高（入力）"))</f>
        <v>18.3842</v>
      </c>
      <c r="BO10" s="392"/>
    </row>
    <row r="11" spans="1:67" ht="15.95" customHeight="1">
      <c r="A11" s="119">
        <v>107</v>
      </c>
      <c r="B11" s="591">
        <v>7410</v>
      </c>
      <c r="C11" s="114" t="s">
        <v>6</v>
      </c>
      <c r="D11" s="110" t="s">
        <v>557</v>
      </c>
      <c r="E11" s="109" t="s">
        <v>26</v>
      </c>
      <c r="F11" s="111" t="s">
        <v>12</v>
      </c>
      <c r="G11" s="112" t="s">
        <v>19</v>
      </c>
      <c r="H11" s="112" t="s">
        <v>541</v>
      </c>
      <c r="I11" s="112" t="s">
        <v>11</v>
      </c>
      <c r="J11" s="112" t="s">
        <v>263</v>
      </c>
      <c r="K11" s="222"/>
      <c r="L11" s="124">
        <v>12.4</v>
      </c>
      <c r="M11" s="124">
        <v>-2.9</v>
      </c>
      <c r="N11" s="124">
        <v>-3.7</v>
      </c>
      <c r="O11" s="136" t="s">
        <v>636</v>
      </c>
      <c r="P11" s="127">
        <v>8.6999999999999993</v>
      </c>
      <c r="Q11" s="124">
        <v>-0.7</v>
      </c>
      <c r="R11" s="124">
        <v>4</v>
      </c>
      <c r="S11" s="124">
        <v>-4.0999999999999996</v>
      </c>
      <c r="T11" s="124">
        <v>2.6</v>
      </c>
      <c r="U11" s="124">
        <v>0.7</v>
      </c>
      <c r="V11" s="124">
        <v>1.7</v>
      </c>
      <c r="W11" s="124">
        <v>9.5</v>
      </c>
      <c r="X11" s="124">
        <v>-1.4</v>
      </c>
      <c r="Y11" s="136" t="s">
        <v>652</v>
      </c>
      <c r="Z11" s="407"/>
      <c r="AA11" s="407"/>
      <c r="AB11" s="127">
        <v>-3.1</v>
      </c>
      <c r="AC11" s="136" t="s">
        <v>1273</v>
      </c>
      <c r="AD11" s="122"/>
      <c r="AE11" s="127">
        <v>2.7</v>
      </c>
      <c r="AF11" s="136" t="s">
        <v>1273</v>
      </c>
      <c r="AG11" s="122"/>
      <c r="AH11" s="122">
        <v>1.4</v>
      </c>
      <c r="AI11" s="139" t="s">
        <v>707</v>
      </c>
      <c r="AJ11" s="122"/>
      <c r="AK11" s="122"/>
      <c r="AL11" s="122"/>
      <c r="AM11" s="122"/>
      <c r="AN11" s="122"/>
      <c r="AO11" s="122"/>
      <c r="AP11" s="121">
        <v>11.8</v>
      </c>
      <c r="AQ11" s="139" t="s">
        <v>1071</v>
      </c>
      <c r="AR11" s="122"/>
      <c r="AS11" s="122"/>
      <c r="AT11" s="122">
        <v>2.8</v>
      </c>
      <c r="AU11" s="125">
        <v>-4.5999999999999996</v>
      </c>
      <c r="AV11" s="125">
        <v>2.4</v>
      </c>
      <c r="AW11" s="139" t="s">
        <v>1068</v>
      </c>
      <c r="AX11" s="122"/>
      <c r="AY11" s="121">
        <v>0.6</v>
      </c>
      <c r="AZ11" s="126">
        <v>-1.1000000000000001</v>
      </c>
      <c r="BA11" s="126">
        <v>1.1000000000000001</v>
      </c>
      <c r="BB11" s="126">
        <v>-0.9</v>
      </c>
      <c r="BC11" s="139" t="s">
        <v>1069</v>
      </c>
      <c r="BD11" s="122">
        <f ca="1">INDIRECT(ADDRESS(MATCH($B11,'【別紙1】標高（入力）'!$B:$B,0),'【別紙1】標高（入力）'!AD$2,4,TRUE,"【別紙1】標高（入力）"))</f>
        <v>-0.10000000000331966</v>
      </c>
      <c r="BE11" s="126">
        <f ca="1">INDIRECT(ADDRESS(MATCH($B11,'【別紙1】標高（入力）'!$B:$B,0),'【別紙1】標高（入力）'!AE$2,4,TRUE,"【別紙1】標高（入力）"))</f>
        <v>1.5000000000000568</v>
      </c>
      <c r="BF11" s="121">
        <f ca="1">INDIRECT(ADDRESS(MATCH($B11,'【別紙1】標高（入力）'!$B:$B,0),'【別紙1】標高（入力）'!AF$2,4,TRUE,"【別紙1】標高（入力）"))</f>
        <v>0.70000000000192131</v>
      </c>
      <c r="BG11" s="121">
        <v>-0.59999999999860165</v>
      </c>
      <c r="BH11" s="126">
        <v>0.99999999999766942</v>
      </c>
      <c r="BI11" s="122">
        <f ca="1">INDIRECT(ADDRESS(MATCH($B11,'【別紙1】標高（入力）'!$B:$B,0),'【別紙1】標高（入力）'!AI$2,4,TRUE,"【別紙1】標高（入力）"))</f>
        <v>-9.9999999999766942E-2</v>
      </c>
      <c r="BJ11" s="658">
        <f ca="1">INDIRECT(ADDRESS(MATCH($B11,'【別紙1】標高（入力）'!$B:$B,0),'【別紙1】標高（入力）'!AJ$2,4,TRUE,"【別紙1】標高（入力）"))</f>
        <v>-4.0000000000013358</v>
      </c>
      <c r="BK11" s="598">
        <f t="shared" ca="1" si="2"/>
        <v>-9.9999999999766942E-2</v>
      </c>
      <c r="BL11" s="604">
        <f t="shared" ca="1" si="3"/>
        <v>42.299999999997951</v>
      </c>
      <c r="BM11" s="600" t="str">
        <f ca="1">INDIRECT(ADDRESS(MATCH($B11,'【別紙1】標高（入力）'!$B:$B,0),'【別紙1】標高（入力）'!$N$2,4,TRUE,"【別紙1】標高（入力）"))</f>
        <v>R5</v>
      </c>
      <c r="BN11" s="340">
        <f ca="1">INDIRECT(ADDRESS(MATCH($B11,'【別紙1】標高（入力）'!$B:$B,0),'【別紙1】標高（入力）'!$O$2,4,TRUE,"【別紙1】標高（入力）"))</f>
        <v>19.073</v>
      </c>
      <c r="BO11" s="392"/>
    </row>
    <row r="12" spans="1:67" ht="15.95" customHeight="1">
      <c r="A12" s="119">
        <v>108</v>
      </c>
      <c r="B12" s="107" t="s">
        <v>413</v>
      </c>
      <c r="C12" s="114" t="s">
        <v>6</v>
      </c>
      <c r="D12" s="110" t="s">
        <v>708</v>
      </c>
      <c r="E12" s="109" t="s">
        <v>1401</v>
      </c>
      <c r="F12" s="111" t="s">
        <v>9</v>
      </c>
      <c r="G12" s="112" t="s">
        <v>10</v>
      </c>
      <c r="H12" s="112" t="s">
        <v>541</v>
      </c>
      <c r="I12" s="112" t="s">
        <v>11</v>
      </c>
      <c r="J12" s="112" t="s">
        <v>263</v>
      </c>
      <c r="K12" s="224"/>
      <c r="L12" s="228"/>
      <c r="M12" s="221"/>
      <c r="N12" s="136" t="s">
        <v>1273</v>
      </c>
      <c r="O12" s="122"/>
      <c r="P12" s="127">
        <v>6.1</v>
      </c>
      <c r="Q12" s="124">
        <v>3.2</v>
      </c>
      <c r="R12" s="124">
        <v>0.4</v>
      </c>
      <c r="S12" s="136" t="s">
        <v>636</v>
      </c>
      <c r="T12" s="127">
        <v>1.2</v>
      </c>
      <c r="U12" s="136" t="s">
        <v>652</v>
      </c>
      <c r="V12" s="122"/>
      <c r="W12" s="122"/>
      <c r="X12" s="127">
        <v>14.5</v>
      </c>
      <c r="Y12" s="136" t="s">
        <v>652</v>
      </c>
      <c r="Z12" s="122"/>
      <c r="AA12" s="122"/>
      <c r="AB12" s="127">
        <v>7.6</v>
      </c>
      <c r="AC12" s="136" t="s">
        <v>1273</v>
      </c>
      <c r="AD12" s="122"/>
      <c r="AE12" s="127">
        <v>-4.4000000000000004</v>
      </c>
      <c r="AF12" s="136" t="s">
        <v>1273</v>
      </c>
      <c r="AG12" s="122"/>
      <c r="AH12" s="122">
        <v>0.8</v>
      </c>
      <c r="AI12" s="139" t="s">
        <v>707</v>
      </c>
      <c r="AJ12" s="122"/>
      <c r="AK12" s="122"/>
      <c r="AL12" s="122"/>
      <c r="AM12" s="122"/>
      <c r="AN12" s="122"/>
      <c r="AO12" s="122"/>
      <c r="AP12" s="121">
        <v>20.7</v>
      </c>
      <c r="AQ12" s="139" t="s">
        <v>1071</v>
      </c>
      <c r="AR12" s="122"/>
      <c r="AS12" s="122"/>
      <c r="AT12" s="122">
        <v>1.6</v>
      </c>
      <c r="AU12" s="125">
        <v>-3.7</v>
      </c>
      <c r="AV12" s="125">
        <v>1.4</v>
      </c>
      <c r="AW12" s="139" t="s">
        <v>1068</v>
      </c>
      <c r="AX12" s="122"/>
      <c r="AY12" s="122">
        <v>2.1</v>
      </c>
      <c r="AZ12" s="139" t="s">
        <v>1069</v>
      </c>
      <c r="BA12" s="122">
        <v>-1.5</v>
      </c>
      <c r="BB12" s="126">
        <v>1.6</v>
      </c>
      <c r="BC12" s="139" t="s">
        <v>1069</v>
      </c>
      <c r="BD12" s="122">
        <f ca="1">INDIRECT(ADDRESS(MATCH($B12,'【別紙1】標高（入力）'!$B:$B,0),'【別紙1】標高（入力）'!AD$2,4,TRUE,"【別紙1】標高（入力）"))</f>
        <v>-1.300000000000523</v>
      </c>
      <c r="BE12" s="125" t="s">
        <v>1333</v>
      </c>
      <c r="BF12" s="121">
        <f ca="1">INDIRECT(ADDRESS(MATCH($B12,'【別紙1】標高（入力）'!$B:$B,0),'【別紙1】標高（入力）'!AF$2,4,TRUE,"【別紙1】標高（入力）"))</f>
        <v>5.2000000000020918</v>
      </c>
      <c r="BG12" s="121">
        <v>0.60000000000215437</v>
      </c>
      <c r="BH12" s="125">
        <v>1.6999999999995907</v>
      </c>
      <c r="BI12" s="122"/>
      <c r="BJ12" s="567" t="str">
        <f ca="1">INDIRECT(ADDRESS(MATCH($B12,'【別紙1】標高（入力）'!$B:$B,0),'【別紙1】標高（入力）'!AJ$2,4,TRUE,"【別紙1】標高（入力）"))</f>
        <v/>
      </c>
      <c r="BK12" s="598" t="str">
        <f t="shared" si="2"/>
        <v>-</v>
      </c>
      <c r="BL12" s="604">
        <f t="shared" ca="1" si="3"/>
        <v>57.800000000003315</v>
      </c>
      <c r="BM12" s="600" t="str">
        <f ca="1">INDIRECT(ADDRESS(MATCH($B12,'【別紙1】標高（入力）'!$B:$B,0),'【別紙1】標高（入力）'!$N$2,4,TRUE,"【別紙1】標高（入力）"))</f>
        <v>R3</v>
      </c>
      <c r="BN12" s="340">
        <f ca="1">INDIRECT(ADDRESS(MATCH($B12,'【別紙1】標高（入力）'!$B:$B,0),'【別紙1】標高（入力）'!$O$2,4,TRUE,"【別紙1】標高（入力）"))</f>
        <v>25.169</v>
      </c>
      <c r="BO12" s="392"/>
    </row>
    <row r="13" spans="1:67" ht="15.95" customHeight="1">
      <c r="A13" s="119">
        <v>109</v>
      </c>
      <c r="B13" s="107" t="s">
        <v>415</v>
      </c>
      <c r="C13" s="114" t="s">
        <v>6</v>
      </c>
      <c r="D13" s="110" t="s">
        <v>29</v>
      </c>
      <c r="E13" s="597" t="s">
        <v>1402</v>
      </c>
      <c r="F13" s="111" t="s">
        <v>9</v>
      </c>
      <c r="G13" s="112" t="s">
        <v>31</v>
      </c>
      <c r="H13" s="112" t="s">
        <v>541</v>
      </c>
      <c r="I13" s="112" t="s">
        <v>11</v>
      </c>
      <c r="J13" s="112" t="s">
        <v>263</v>
      </c>
      <c r="K13" s="224"/>
      <c r="L13" s="228"/>
      <c r="M13" s="228"/>
      <c r="N13" s="228"/>
      <c r="O13" s="228"/>
      <c r="P13" s="221"/>
      <c r="Q13" s="124">
        <v>-0.1</v>
      </c>
      <c r="R13" s="124">
        <v>-0.2</v>
      </c>
      <c r="S13" s="136" t="s">
        <v>636</v>
      </c>
      <c r="T13" s="127">
        <v>1.5</v>
      </c>
      <c r="U13" s="136" t="s">
        <v>1275</v>
      </c>
      <c r="V13" s="122"/>
      <c r="W13" s="122"/>
      <c r="X13" s="122"/>
      <c r="Y13" s="122"/>
      <c r="Z13" s="122"/>
      <c r="AA13" s="122"/>
      <c r="AB13" s="127">
        <v>14.8</v>
      </c>
      <c r="AC13" s="136" t="s">
        <v>1273</v>
      </c>
      <c r="AD13" s="122"/>
      <c r="AE13" s="127">
        <v>-9.1</v>
      </c>
      <c r="AF13" s="136" t="s">
        <v>1273</v>
      </c>
      <c r="AG13" s="122"/>
      <c r="AH13" s="122">
        <v>-0.8</v>
      </c>
      <c r="AI13" s="139" t="s">
        <v>707</v>
      </c>
      <c r="AJ13" s="122"/>
      <c r="AK13" s="122"/>
      <c r="AL13" s="122"/>
      <c r="AM13" s="122"/>
      <c r="AN13" s="122"/>
      <c r="AO13" s="122"/>
      <c r="AP13" s="121">
        <v>13.4</v>
      </c>
      <c r="AQ13" s="135" t="s">
        <v>1072</v>
      </c>
      <c r="AR13" s="122"/>
      <c r="AS13" s="122"/>
      <c r="AT13" s="122"/>
      <c r="AU13" s="122"/>
      <c r="AV13" s="122">
        <v>-3</v>
      </c>
      <c r="AW13" s="139" t="s">
        <v>1072</v>
      </c>
      <c r="AX13" s="122"/>
      <c r="AY13" s="122"/>
      <c r="AZ13" s="122"/>
      <c r="BA13" s="122"/>
      <c r="BB13" s="121">
        <v>2.2999999999999998</v>
      </c>
      <c r="BC13" s="139" t="s">
        <v>1070</v>
      </c>
      <c r="BD13" s="122" t="str">
        <f ca="1">INDIRECT(ADDRESS(MATCH($B13,'【別紙1】標高（入力）'!$B:$B,0),'【別紙1】標高（入力）'!AD$2,4,TRUE,"【別紙1】標高（入力）"))</f>
        <v/>
      </c>
      <c r="BE13" s="122" t="str">
        <f ca="1">INDIRECT(ADDRESS(MATCH($B13,'【別紙1】標高（入力）'!$B:$B,0),'【別紙1】標高（入力）'!AE$2,4,TRUE,"【別紙1】標高（入力）"))</f>
        <v/>
      </c>
      <c r="BF13" s="122" t="str">
        <f ca="1">INDIRECT(ADDRESS(MATCH($B13,'【別紙1】標高（入力）'!$B:$B,0),'【別紙1】標高（入力）'!AF$2,4,TRUE,"【別紙1】標高（入力）"))</f>
        <v/>
      </c>
      <c r="BG13" s="121">
        <f ca="1">INDIRECT(ADDRESS(MATCH($B13,'【別紙1】標高（入力）'!$B:$B,0),'【別紙1】標高（入力）'!AG$2,4,TRUE,"【別紙1】標高（入力）"))</f>
        <v>2.1999999999984254</v>
      </c>
      <c r="BH13" s="126">
        <f ca="1">INDIRECT(ADDRESS(MATCH($B13,'【別紙1】標高（入力）'!$B:$B,0),'【別紙1】標高（入力）'!AH$2,4,TRUE,"【別紙1】標高（入力）"))</f>
        <v>1.9999999999988916</v>
      </c>
      <c r="BI13" s="122"/>
      <c r="BJ13" s="624" t="str">
        <f ca="1">INDIRECT(ADDRESS(MATCH($B13,'【別紙1】標高（入力）'!$B:$B,0),'【別紙1】標高（入力）'!AJ$2,4,TRUE,"【別紙1】標高（入力）"))</f>
        <v/>
      </c>
      <c r="BK13" s="598" t="str">
        <f t="shared" ca="1" si="2"/>
        <v>-</v>
      </c>
      <c r="BL13" s="604">
        <f t="shared" ca="1" si="3"/>
        <v>22.999999999997318</v>
      </c>
      <c r="BM13" s="600" t="str">
        <f ca="1">INDIRECT(ADDRESS(MATCH($B13,'【別紙1】標高（入力）'!$B:$B,0),'【別紙1】標高（入力）'!$N$2,4,TRUE,"【別紙1】標高（入力）"))</f>
        <v>R4</v>
      </c>
      <c r="BN13" s="340">
        <f ca="1">INDIRECT(ADDRESS(MATCH($B13,'【別紙1】標高（入力）'!$B:$B,0),'【別紙1】標高（入力）'!$O$2,4,TRUE,"【別紙1】標高（入力）"))</f>
        <v>31.895900000000001</v>
      </c>
      <c r="BO13" s="392"/>
    </row>
    <row r="14" spans="1:67" ht="15.95" customHeight="1">
      <c r="A14" s="119">
        <v>110</v>
      </c>
      <c r="B14" s="591">
        <v>7409</v>
      </c>
      <c r="C14" s="114" t="s">
        <v>6</v>
      </c>
      <c r="D14" s="596" t="s">
        <v>1392</v>
      </c>
      <c r="E14" s="597" t="s">
        <v>1403</v>
      </c>
      <c r="F14" s="111" t="s">
        <v>12</v>
      </c>
      <c r="G14" s="112" t="s">
        <v>19</v>
      </c>
      <c r="H14" s="112" t="s">
        <v>541</v>
      </c>
      <c r="I14" s="112" t="s">
        <v>11</v>
      </c>
      <c r="J14" s="112" t="s">
        <v>263</v>
      </c>
      <c r="K14" s="222"/>
      <c r="L14" s="124">
        <v>26.1</v>
      </c>
      <c r="M14" s="124">
        <v>-4.2</v>
      </c>
      <c r="N14" s="124">
        <v>-6.6</v>
      </c>
      <c r="O14" s="136" t="s">
        <v>636</v>
      </c>
      <c r="P14" s="127">
        <v>15.7</v>
      </c>
      <c r="Q14" s="124">
        <v>1</v>
      </c>
      <c r="R14" s="124">
        <v>0.8</v>
      </c>
      <c r="S14" s="124">
        <v>-1</v>
      </c>
      <c r="T14" s="124">
        <v>1.9</v>
      </c>
      <c r="U14" s="124">
        <v>1.1000000000000001</v>
      </c>
      <c r="V14" s="124">
        <v>2.7</v>
      </c>
      <c r="W14" s="124">
        <v>11.3</v>
      </c>
      <c r="X14" s="124">
        <v>-0.4</v>
      </c>
      <c r="Y14" s="136" t="s">
        <v>652</v>
      </c>
      <c r="Z14" s="122"/>
      <c r="AA14" s="122"/>
      <c r="AB14" s="127">
        <v>1.9</v>
      </c>
      <c r="AC14" s="136" t="s">
        <v>1273</v>
      </c>
      <c r="AD14" s="122"/>
      <c r="AE14" s="127">
        <v>3.4</v>
      </c>
      <c r="AF14" s="136" t="s">
        <v>1273</v>
      </c>
      <c r="AG14" s="122"/>
      <c r="AH14" s="122">
        <v>3.7</v>
      </c>
      <c r="AI14" s="139" t="s">
        <v>707</v>
      </c>
      <c r="AJ14" s="122"/>
      <c r="AK14" s="122"/>
      <c r="AL14" s="122"/>
      <c r="AM14" s="122"/>
      <c r="AN14" s="122"/>
      <c r="AO14" s="122"/>
      <c r="AP14" s="121">
        <v>14.1</v>
      </c>
      <c r="AQ14" s="228"/>
      <c r="AR14" s="228"/>
      <c r="AS14" s="228"/>
      <c r="AT14" s="139" t="s">
        <v>314</v>
      </c>
      <c r="AU14" s="126">
        <v>-3.9</v>
      </c>
      <c r="AV14" s="126">
        <v>0.9</v>
      </c>
      <c r="AW14" s="139" t="s">
        <v>1068</v>
      </c>
      <c r="AX14" s="122"/>
      <c r="AY14" s="122">
        <v>3.5</v>
      </c>
      <c r="AZ14" s="126">
        <v>-0.3</v>
      </c>
      <c r="BA14" s="126">
        <v>2.2999999999999998</v>
      </c>
      <c r="BB14" s="126">
        <v>0.1</v>
      </c>
      <c r="BC14" s="139" t="s">
        <v>1069</v>
      </c>
      <c r="BD14" s="122">
        <f ca="1">INDIRECT(ADDRESS(MATCH($B14,'【別紙1】標高（入力）'!$B:$B,0),'【別紙1】標高（入力）'!AD$2,4,TRUE,"【別紙1】標高（入力）"))</f>
        <v>1.1000000000009891</v>
      </c>
      <c r="BE14" s="126">
        <f ca="1">INDIRECT(ADDRESS(MATCH($B14,'【別紙1】標高（入力）'!$B:$B,0),'【別紙1】標高（入力）'!AE$2,4,TRUE,"【別紙1】標高（入力）"))</f>
        <v>3.1999999999996476</v>
      </c>
      <c r="BF14" s="121">
        <f ca="1">INDIRECT(ADDRESS(MATCH($B14,'【別紙1】標高（入力）'!$B:$B,0),'【別紙1】標高（入力）'!AF$2,4,TRUE,"【別紙1】標高（入力）"))</f>
        <v>0.59999999999860165</v>
      </c>
      <c r="BG14" s="121">
        <f ca="1">INDIRECT(ADDRESS(MATCH($B14,'【別紙1】標高（入力）'!$B:$B,0),'【別紙1】標高（入力）'!AG$2,4,TRUE,"【別紙1】標高（入力）"))</f>
        <v>0.60000000000215437</v>
      </c>
      <c r="BH14" s="126">
        <f ca="1">INDIRECT(ADDRESS(MATCH($B14,'【別紙1】標高（入力）'!$B:$B,0),'【別紙1】標高（入力）'!AH$2,4,TRUE,"【別紙1】標高（入力）"))</f>
        <v>1.6999999999995907</v>
      </c>
      <c r="BI14" s="122">
        <f ca="1">INDIRECT(ADDRESS(MATCH($B14,'【別紙1】標高（入力）'!$B:$B,0),'【別紙1】標高（入力）'!AI$2,4,TRUE,"【別紙1】標高（入力）"))</f>
        <v>0.19999999999953388</v>
      </c>
      <c r="BJ14" s="658">
        <f ca="1">INDIRECT(ADDRESS(MATCH($B14,'【別紙1】標高（入力）'!$B:$B,0),'【別紙1】標高（入力）'!AJ$2,4,TRUE,"【別紙1】標高（入力）"))</f>
        <v>0.69999999999836859</v>
      </c>
      <c r="BK14" s="598">
        <f t="shared" ca="1" si="2"/>
        <v>0.19999999999953388</v>
      </c>
      <c r="BL14" s="604">
        <f t="shared" ca="1" si="3"/>
        <v>81.500000000000512</v>
      </c>
      <c r="BM14" s="600" t="str">
        <f ca="1">INDIRECT(ADDRESS(MATCH($B14,'【別紙1】標高（入力）'!$B:$B,0),'【別紙1】標高（入力）'!$N$2,4,TRUE,"【別紙1】標高（入力）"))</f>
        <v>R5</v>
      </c>
      <c r="BN14" s="340">
        <f ca="1">INDIRECT(ADDRESS(MATCH($B14,'【別紙1】標高（入力）'!$B:$B,0),'【別紙1】標高（入力）'!$O$2,4,TRUE,"【別紙1】標高（入力）"))</f>
        <v>16.5046</v>
      </c>
      <c r="BO14" s="392" t="s">
        <v>319</v>
      </c>
    </row>
    <row r="15" spans="1:67" ht="15.95" customHeight="1">
      <c r="A15" s="119">
        <v>111</v>
      </c>
      <c r="B15" s="107" t="s">
        <v>417</v>
      </c>
      <c r="C15" s="114" t="s">
        <v>6</v>
      </c>
      <c r="D15" s="596" t="s">
        <v>1393</v>
      </c>
      <c r="E15" s="109" t="s">
        <v>35</v>
      </c>
      <c r="F15" s="111" t="s">
        <v>9</v>
      </c>
      <c r="G15" s="112" t="s">
        <v>36</v>
      </c>
      <c r="H15" s="112" t="s">
        <v>541</v>
      </c>
      <c r="I15" s="112" t="s">
        <v>11</v>
      </c>
      <c r="J15" s="112" t="s">
        <v>263</v>
      </c>
      <c r="K15" s="224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1"/>
      <c r="AG15" s="129" t="s">
        <v>37</v>
      </c>
      <c r="AH15" s="136" t="s">
        <v>1278</v>
      </c>
      <c r="AI15" s="139" t="s">
        <v>707</v>
      </c>
      <c r="AJ15" s="122"/>
      <c r="AK15" s="122"/>
      <c r="AL15" s="122"/>
      <c r="AM15" s="122"/>
      <c r="AN15" s="122"/>
      <c r="AO15" s="122"/>
      <c r="AP15" s="121">
        <v>28.7</v>
      </c>
      <c r="AQ15" s="139" t="s">
        <v>1071</v>
      </c>
      <c r="AR15" s="122"/>
      <c r="AS15" s="122"/>
      <c r="AT15" s="122">
        <v>5.4</v>
      </c>
      <c r="AU15" s="139" t="s">
        <v>1070</v>
      </c>
      <c r="AV15" s="122"/>
      <c r="AW15" s="122"/>
      <c r="AX15" s="122"/>
      <c r="AY15" s="122">
        <v>3.9</v>
      </c>
      <c r="AZ15" s="126">
        <v>0.2</v>
      </c>
      <c r="BA15" s="126">
        <v>0.9</v>
      </c>
      <c r="BB15" s="139" t="s">
        <v>1068</v>
      </c>
      <c r="BC15" s="122"/>
      <c r="BD15" s="122">
        <f ca="1">INDIRECT(ADDRESS(MATCH($B15,'【別紙1】標高（入力）'!$B:$B,0),'【別紙1】標高（入力）'!AD$2,4,TRUE,"【別紙1】標高（入力）"))</f>
        <v>2.2999999999981924</v>
      </c>
      <c r="BE15" s="126">
        <f ca="1">INDIRECT(ADDRESS(MATCH($B15,'【別紙1】標高（入力）'!$B:$B,0),'【別紙1】標高（入力）'!AE$2,4,TRUE,"【別紙1】標高（入力）"))</f>
        <v>5.3000000000018588</v>
      </c>
      <c r="BF15" s="121">
        <f ca="1">INDIRECT(ADDRESS(MATCH($B15,'【別紙1】標高（入力）'!$B:$B,0),'【別紙1】標高（入力）'!AF$2,4,TRUE,"【別紙1】標高（入力）"))</f>
        <v>0.89999999999790248</v>
      </c>
      <c r="BG15" s="135" t="s">
        <v>1514</v>
      </c>
      <c r="BH15" s="122" t="str">
        <f ca="1">INDIRECT(ADDRESS(MATCH($B15,'【別紙1】標高（入力）'!$B:$B,0),'【別紙1】標高（入力）'!AH$2,4,TRUE,"【別紙1】標高（入力）"))</f>
        <v/>
      </c>
      <c r="BI15" s="122">
        <f ca="1">INDIRECT(ADDRESS(MATCH($B15,'【別紙1】標高（入力）'!$B:$B,0),'【別紙1】標高（入力）'!AI$2,4,TRUE,"【別紙1】標高（入力）"))</f>
        <v>0.49999999999883471</v>
      </c>
      <c r="BJ15" s="659" t="str">
        <f ca="1">INDIRECT(ADDRESS(MATCH($B15,'【別紙1】標高（入力）'!$B:$B,0),'【別紙1】標高（入力）'!AJ$2,4,TRUE,"【別紙1】標高（入力）"))</f>
        <v/>
      </c>
      <c r="BK15" s="598" t="str">
        <f t="shared" ca="1" si="2"/>
        <v>-</v>
      </c>
      <c r="BL15" s="604">
        <f t="shared" ca="1" si="3"/>
        <v>48.09999999999679</v>
      </c>
      <c r="BM15" s="600" t="str">
        <f ca="1">INDIRECT(ADDRESS(MATCH($B15,'【別紙1】標高（入力）'!$B:$B,0),'【別紙1】標高（入力）'!$N$2,4,TRUE,"【別紙1】標高（入力）"))</f>
        <v>R5</v>
      </c>
      <c r="BN15" s="340">
        <f ca="1">INDIRECT(ADDRESS(MATCH($B15,'【別紙1】標高（入力）'!$B:$B,0),'【別紙1】標高（入力）'!$O$2,4,TRUE,"【別紙1】標高（入力）"))</f>
        <v>20.635000000000002</v>
      </c>
      <c r="BO15" s="392"/>
    </row>
    <row r="16" spans="1:67" s="231" customFormat="1" ht="15.95" customHeight="1">
      <c r="A16" s="214">
        <v>201</v>
      </c>
      <c r="B16" s="215" t="s">
        <v>418</v>
      </c>
      <c r="C16" s="216" t="s">
        <v>38</v>
      </c>
      <c r="D16" s="217" t="s">
        <v>713</v>
      </c>
      <c r="E16" s="218" t="s">
        <v>40</v>
      </c>
      <c r="F16" s="219" t="s">
        <v>9</v>
      </c>
      <c r="G16" s="220" t="s">
        <v>19</v>
      </c>
      <c r="H16" s="220" t="s">
        <v>541</v>
      </c>
      <c r="I16" s="220" t="s">
        <v>11</v>
      </c>
      <c r="J16" s="220" t="s">
        <v>263</v>
      </c>
      <c r="K16" s="222"/>
      <c r="L16" s="124">
        <v>25.6</v>
      </c>
      <c r="M16" s="124">
        <v>1.3</v>
      </c>
      <c r="N16" s="124">
        <v>-3.9</v>
      </c>
      <c r="O16" s="124">
        <v>4.3</v>
      </c>
      <c r="P16" s="124">
        <v>11.6</v>
      </c>
      <c r="Q16" s="124">
        <v>6.5</v>
      </c>
      <c r="R16" s="124">
        <v>1.4</v>
      </c>
      <c r="S16" s="124">
        <v>-1.4</v>
      </c>
      <c r="T16" s="124">
        <v>5.7</v>
      </c>
      <c r="U16" s="124">
        <v>1.7</v>
      </c>
      <c r="V16" s="124">
        <v>3.5</v>
      </c>
      <c r="W16" s="124">
        <v>23</v>
      </c>
      <c r="X16" s="124">
        <v>3.3</v>
      </c>
      <c r="Y16" s="124">
        <v>-8.6999999999999993</v>
      </c>
      <c r="Z16" s="124">
        <v>2.9</v>
      </c>
      <c r="AA16" s="124">
        <v>5.7</v>
      </c>
      <c r="AB16" s="124">
        <v>-3</v>
      </c>
      <c r="AC16" s="124">
        <v>9.1</v>
      </c>
      <c r="AD16" s="124">
        <v>-1.4</v>
      </c>
      <c r="AE16" s="124">
        <v>-3.6</v>
      </c>
      <c r="AF16" s="124">
        <v>6.2</v>
      </c>
      <c r="AG16" s="124">
        <v>4.8</v>
      </c>
      <c r="AH16" s="123">
        <v>-6</v>
      </c>
      <c r="AI16" s="126">
        <v>9.3000000000000007</v>
      </c>
      <c r="AJ16" s="128">
        <v>2.2000000000000002</v>
      </c>
      <c r="AK16" s="128">
        <v>-2.2000000000000002</v>
      </c>
      <c r="AL16" s="123">
        <v>5.3</v>
      </c>
      <c r="AM16" s="124">
        <v>1.50000000000006</v>
      </c>
      <c r="AN16" s="123">
        <v>-7.6</v>
      </c>
      <c r="AO16" s="125">
        <v>8.4</v>
      </c>
      <c r="AP16" s="126">
        <v>5.4</v>
      </c>
      <c r="AQ16" s="139" t="s">
        <v>1068</v>
      </c>
      <c r="AR16" s="122"/>
      <c r="AS16" s="121">
        <v>2.2999999999999998</v>
      </c>
      <c r="AT16" s="122">
        <v>4.2</v>
      </c>
      <c r="AU16" s="125">
        <v>-5.4</v>
      </c>
      <c r="AV16" s="125">
        <v>2.7</v>
      </c>
      <c r="AW16" s="225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625"/>
      <c r="BI16" s="228"/>
      <c r="BJ16" s="570" t="str">
        <f ca="1">INDIRECT(ADDRESS(MATCH($B16,'【別紙1】標高（入力）'!$B:$B,0),'【別紙1】標高（入力）'!AJ$2,4,TRUE,"【別紙1】標高（入力）"))</f>
        <v/>
      </c>
      <c r="BK16" s="599" t="str">
        <f t="shared" si="0"/>
        <v>-</v>
      </c>
      <c r="BL16" s="605">
        <f t="shared" si="1"/>
        <v>114.70000000000007</v>
      </c>
      <c r="BM16" s="601" t="str">
        <f ca="1">INDIRECT(ADDRESS(MATCH($B16,'【別紙1】標高（入力）'!$B:$B,0),'【別紙1】標高（入力）'!$N$2,4,TRUE,"【別紙1】標高（入力）"))</f>
        <v>H22</v>
      </c>
      <c r="BN16" s="341">
        <f ca="1">INDIRECT(ADDRESS(MATCH($B16,'【別紙1】標高（入力）'!$B:$B,0),'【別紙1】標高（入力）'!$O$2,4,TRUE,"【別紙1】標高（入力）"))</f>
        <v>15.417599999999998</v>
      </c>
      <c r="BO16" s="393" t="s">
        <v>522</v>
      </c>
    </row>
    <row r="17" spans="1:67" ht="15.95" customHeight="1">
      <c r="A17" s="119">
        <v>202</v>
      </c>
      <c r="B17" s="107" t="s">
        <v>385</v>
      </c>
      <c r="C17" s="114" t="s">
        <v>38</v>
      </c>
      <c r="D17" s="110" t="s">
        <v>714</v>
      </c>
      <c r="E17" s="109" t="s">
        <v>42</v>
      </c>
      <c r="F17" s="111" t="s">
        <v>9</v>
      </c>
      <c r="G17" s="112" t="s">
        <v>31</v>
      </c>
      <c r="H17" s="112" t="s">
        <v>541</v>
      </c>
      <c r="I17" s="112" t="s">
        <v>539</v>
      </c>
      <c r="J17" s="112" t="s">
        <v>264</v>
      </c>
      <c r="K17" s="224"/>
      <c r="L17" s="228"/>
      <c r="M17" s="228"/>
      <c r="N17" s="228"/>
      <c r="O17" s="228"/>
      <c r="P17" s="221"/>
      <c r="Q17" s="124">
        <v>29.5</v>
      </c>
      <c r="R17" s="124">
        <v>13.2</v>
      </c>
      <c r="S17" s="124">
        <v>-23.8</v>
      </c>
      <c r="T17" s="124">
        <v>32.799999999999997</v>
      </c>
      <c r="U17" s="124">
        <v>2.4</v>
      </c>
      <c r="V17" s="124">
        <v>17.2</v>
      </c>
      <c r="W17" s="124">
        <v>36.799999999999997</v>
      </c>
      <c r="X17" s="124">
        <v>6.4</v>
      </c>
      <c r="Y17" s="124">
        <v>4.7</v>
      </c>
      <c r="Z17" s="124">
        <v>-8.8000000000000007</v>
      </c>
      <c r="AA17" s="124">
        <v>9.1999999999999993</v>
      </c>
      <c r="AB17" s="124">
        <v>13.3</v>
      </c>
      <c r="AC17" s="124">
        <v>38.1</v>
      </c>
      <c r="AD17" s="124">
        <v>-9.9</v>
      </c>
      <c r="AE17" s="124">
        <v>-0.3</v>
      </c>
      <c r="AF17" s="124">
        <v>7.5</v>
      </c>
      <c r="AG17" s="124">
        <v>7</v>
      </c>
      <c r="AH17" s="123">
        <v>-6.3</v>
      </c>
      <c r="AI17" s="125">
        <v>5.5</v>
      </c>
      <c r="AJ17" s="411" t="s">
        <v>300</v>
      </c>
      <c r="AK17" s="413" t="s">
        <v>300</v>
      </c>
      <c r="AL17" s="122">
        <v>4.9000000000000004</v>
      </c>
      <c r="AM17" s="124">
        <v>0.40000000000084401</v>
      </c>
      <c r="AN17" s="123">
        <v>-5.9</v>
      </c>
      <c r="AO17" s="125">
        <v>13.7</v>
      </c>
      <c r="AP17" s="139" t="s">
        <v>636</v>
      </c>
      <c r="AQ17" s="122">
        <v>9</v>
      </c>
      <c r="AR17" s="125">
        <v>5.3</v>
      </c>
      <c r="AS17" s="125">
        <v>5.4</v>
      </c>
      <c r="AT17" s="125">
        <v>12.1</v>
      </c>
      <c r="AU17" s="125">
        <v>3.5</v>
      </c>
      <c r="AV17" s="125">
        <v>-1.5</v>
      </c>
      <c r="AW17" s="125">
        <v>0.6</v>
      </c>
      <c r="AX17" s="125">
        <v>4.2</v>
      </c>
      <c r="AY17" s="139" t="s">
        <v>1068</v>
      </c>
      <c r="AZ17" s="122"/>
      <c r="BA17" s="122">
        <v>-0.2</v>
      </c>
      <c r="BB17" s="126">
        <v>-1.8</v>
      </c>
      <c r="BC17" s="122">
        <v>2</v>
      </c>
      <c r="BD17" s="139" t="s">
        <v>1334</v>
      </c>
      <c r="BE17" s="122" t="str">
        <f ca="1">INDIRECT(ADDRESS(MATCH($B17,'【別紙1】標高（入力）'!$B:$B,0),'【別紙1】標高（入力）'!AE$2,4,TRUE,"【別紙1】標高（入力）"))</f>
        <v/>
      </c>
      <c r="BF17" s="121">
        <f ca="1">INDIRECT(ADDRESS(MATCH($B17,'【別紙1】標高（入力）'!$B:$B,0),'【別紙1】標高（入力）'!AF$2,4,TRUE,"【別紙1】標高（入力）"))</f>
        <v>11.599999999999611</v>
      </c>
      <c r="BG17" s="121">
        <f ca="1">INDIRECT(ADDRESS(MATCH($B17,'【別紙1】標高（入力）'!$B:$B,0),'【別紙1】標高（入力）'!AG$2,4,TRUE,"【別紙1】標高（入力）"))</f>
        <v>-1.6999999999995907</v>
      </c>
      <c r="BH17" s="660" t="s">
        <v>1552</v>
      </c>
      <c r="BI17" s="632"/>
      <c r="BJ17" s="569">
        <f ca="1">INDIRECT(ADDRESS(MATCH($B17,'【別紙1】標高（入力）'!$B:$B,0),'【別紙1】標高（入力）'!AJ$2,4,TRUE,"【別紙1】標高（入力）"))</f>
        <v>2.0999999999986585</v>
      </c>
      <c r="BK17" s="598" t="str">
        <f t="shared" ref="BK17:BK25" si="4">IF(AND(ISNUMBER(BI17)*1,ISNUMBER(BH17)*1),BI17,"-")</f>
        <v>-</v>
      </c>
      <c r="BL17" s="604">
        <f t="shared" ref="BL17:BL25" ca="1" si="5">SUM(K17:BI17)</f>
        <v>236.10000000000082</v>
      </c>
      <c r="BM17" s="600" t="str">
        <f ca="1">INDIRECT(ADDRESS(MATCH($B17,'【別紙1】標高（入力）'!$B:$B,0),'【別紙1】標高（入力）'!$N$2,4,TRUE,"【別紙1】標高（入力）"))</f>
        <v>R3</v>
      </c>
      <c r="BN17" s="342">
        <f ca="1">INDIRECT(ADDRESS(MATCH($B17,'【別紙1】標高（入力）'!$B:$B,0),'【別紙1】標高（入力）'!$O$2,4,TRUE,"【別紙1】標高（入力）"))</f>
        <v>11.479699999999999</v>
      </c>
      <c r="BO17" s="392"/>
    </row>
    <row r="18" spans="1:67" ht="15.95" customHeight="1">
      <c r="A18" s="119">
        <v>203</v>
      </c>
      <c r="B18" s="107" t="s">
        <v>383</v>
      </c>
      <c r="C18" s="114" t="s">
        <v>38</v>
      </c>
      <c r="D18" s="110" t="s">
        <v>565</v>
      </c>
      <c r="E18" s="109" t="s">
        <v>44</v>
      </c>
      <c r="F18" s="111" t="s">
        <v>9</v>
      </c>
      <c r="G18" s="112" t="s">
        <v>19</v>
      </c>
      <c r="H18" s="112" t="s">
        <v>541</v>
      </c>
      <c r="I18" s="112" t="s">
        <v>539</v>
      </c>
      <c r="J18" s="112" t="s">
        <v>264</v>
      </c>
      <c r="K18" s="222"/>
      <c r="L18" s="124">
        <v>34.299999999999997</v>
      </c>
      <c r="M18" s="124">
        <v>3.6</v>
      </c>
      <c r="N18" s="124">
        <v>-5</v>
      </c>
      <c r="O18" s="124">
        <v>6.1</v>
      </c>
      <c r="P18" s="124">
        <v>8.4</v>
      </c>
      <c r="Q18" s="124">
        <v>7.4</v>
      </c>
      <c r="R18" s="124">
        <v>8.4</v>
      </c>
      <c r="S18" s="124">
        <v>-6.2</v>
      </c>
      <c r="T18" s="124">
        <v>4.0999999999999996</v>
      </c>
      <c r="U18" s="124">
        <v>2.5</v>
      </c>
      <c r="V18" s="124">
        <v>9</v>
      </c>
      <c r="W18" s="124">
        <v>26.4</v>
      </c>
      <c r="X18" s="124">
        <v>-0.3</v>
      </c>
      <c r="Y18" s="124">
        <v>-9.5</v>
      </c>
      <c r="Z18" s="124">
        <v>0.5</v>
      </c>
      <c r="AA18" s="124">
        <v>4.0999999999999996</v>
      </c>
      <c r="AB18" s="124">
        <v>-2.1</v>
      </c>
      <c r="AC18" s="124">
        <v>10.199999999999999</v>
      </c>
      <c r="AD18" s="124">
        <v>-3.1</v>
      </c>
      <c r="AE18" s="124">
        <v>-2.5</v>
      </c>
      <c r="AF18" s="124">
        <v>4.5</v>
      </c>
      <c r="AG18" s="124">
        <v>5</v>
      </c>
      <c r="AH18" s="123">
        <v>-5.5</v>
      </c>
      <c r="AI18" s="126">
        <v>8.5</v>
      </c>
      <c r="AJ18" s="128">
        <v>7.2</v>
      </c>
      <c r="AK18" s="128">
        <v>-2.5</v>
      </c>
      <c r="AL18" s="123">
        <v>1.2</v>
      </c>
      <c r="AM18" s="124">
        <v>1.99999999999889</v>
      </c>
      <c r="AN18" s="123">
        <v>-8</v>
      </c>
      <c r="AO18" s="125">
        <v>7.3</v>
      </c>
      <c r="AP18" s="126">
        <v>5.9</v>
      </c>
      <c r="AQ18" s="122">
        <v>-0.4</v>
      </c>
      <c r="AR18" s="125">
        <v>1.2</v>
      </c>
      <c r="AS18" s="125">
        <v>3.2</v>
      </c>
      <c r="AT18" s="125">
        <v>0.3</v>
      </c>
      <c r="AU18" s="125">
        <v>-3.9</v>
      </c>
      <c r="AV18" s="125">
        <v>-0.1</v>
      </c>
      <c r="AW18" s="125">
        <v>0.7</v>
      </c>
      <c r="AX18" s="125">
        <v>3.6</v>
      </c>
      <c r="AY18" s="125">
        <v>-3.2</v>
      </c>
      <c r="AZ18" s="139" t="s">
        <v>1069</v>
      </c>
      <c r="BA18" s="121">
        <v>-1.7</v>
      </c>
      <c r="BB18" s="135" t="s">
        <v>1069</v>
      </c>
      <c r="BC18" s="122">
        <v>-0.1</v>
      </c>
      <c r="BD18" s="125">
        <f ca="1">INDIRECT(ADDRESS(MATCH($B18,'【別紙1】標高（入力）'!$B:$B,0),'【別紙1】標高（入力）'!AD$2,4,TRUE,"【別紙1】標高（入力）"))</f>
        <v>0.70000000000014495</v>
      </c>
      <c r="BE18" s="139" t="s">
        <v>1333</v>
      </c>
      <c r="BF18" s="121">
        <f ca="1">INDIRECT(ADDRESS(MATCH($B18,'【別紙1】標高（入力）'!$B:$B,0),'【別紙1】標高（入力）'!AF$2,4,TRUE,"【別紙1】標高（入力）"))</f>
        <v>2.1000000000004349</v>
      </c>
      <c r="BG18" s="125" t="str">
        <f ca="1">INDIRECT(ADDRESS(MATCH($B18,'【別紙1】標高（入力）'!$B:$B,0),'【別紙1】標高（入力）'!AG$2,4,TRUE,"【別紙1】標高（入力）"))</f>
        <v/>
      </c>
      <c r="BH18" s="122" t="str">
        <f ca="1">INDIRECT(ADDRESS(MATCH($B18,'【別紙1】標高（入力）'!$B:$B,0),'【別紙1】標高（入力）'!AH$2,4,TRUE,"【別紙1】標高（入力）"))</f>
        <v/>
      </c>
      <c r="BI18" s="122"/>
      <c r="BJ18" s="624" t="str">
        <f ca="1">INDIRECT(ADDRESS(MATCH($B18,'【別紙1】標高（入力）'!$B:$B,0),'【別紙1】標高（入力）'!AJ$2,4,TRUE,"【別紙1】標高（入力）"))</f>
        <v/>
      </c>
      <c r="BK18" s="598" t="str">
        <f t="shared" ca="1" si="4"/>
        <v>-</v>
      </c>
      <c r="BL18" s="604">
        <f t="shared" ca="1" si="5"/>
        <v>124.29999999999949</v>
      </c>
      <c r="BM18" s="600" t="str">
        <f ca="1">INDIRECT(ADDRESS(MATCH($B18,'【別紙1】標高（入力）'!$B:$B,0),'【別紙1】標高（入力）'!$N$2,4,TRUE,"【別紙1】標高（入力）"))</f>
        <v>R2</v>
      </c>
      <c r="BN18" s="342">
        <f ca="1">INDIRECT(ADDRESS(MATCH($B18,'【別紙1】標高（入力）'!$B:$B,0),'【別紙1】標高（入力）'!$O$2,4,TRUE,"【別紙1】標高（入力）"))</f>
        <v>11.536899999999999</v>
      </c>
      <c r="BO18" s="392"/>
    </row>
    <row r="19" spans="1:67" ht="15.95" customHeight="1">
      <c r="A19" s="119">
        <v>204</v>
      </c>
      <c r="B19" s="107" t="s">
        <v>419</v>
      </c>
      <c r="C19" s="114" t="s">
        <v>38</v>
      </c>
      <c r="D19" s="110" t="s">
        <v>696</v>
      </c>
      <c r="E19" s="109" t="s">
        <v>46</v>
      </c>
      <c r="F19" s="111" t="s">
        <v>9</v>
      </c>
      <c r="G19" s="112" t="s">
        <v>19</v>
      </c>
      <c r="H19" s="112" t="s">
        <v>541</v>
      </c>
      <c r="I19" s="112" t="s">
        <v>539</v>
      </c>
      <c r="J19" s="112" t="s">
        <v>264</v>
      </c>
      <c r="K19" s="222"/>
      <c r="L19" s="136" t="s">
        <v>636</v>
      </c>
      <c r="M19" s="127">
        <v>83.4</v>
      </c>
      <c r="N19" s="124">
        <v>16.3</v>
      </c>
      <c r="O19" s="124">
        <v>10.7</v>
      </c>
      <c r="P19" s="124">
        <v>14.5</v>
      </c>
      <c r="Q19" s="124">
        <v>27.2</v>
      </c>
      <c r="R19" s="124">
        <v>15.7</v>
      </c>
      <c r="S19" s="123">
        <v>-8.9</v>
      </c>
      <c r="T19" s="415" t="s">
        <v>47</v>
      </c>
      <c r="U19" s="413" t="s">
        <v>47</v>
      </c>
      <c r="V19" s="127">
        <v>20.8</v>
      </c>
      <c r="W19" s="124">
        <v>41.1</v>
      </c>
      <c r="X19" s="124">
        <v>8.5</v>
      </c>
      <c r="Y19" s="124">
        <v>-5</v>
      </c>
      <c r="Z19" s="124">
        <v>-0.2</v>
      </c>
      <c r="AA19" s="124">
        <v>8.1999999999999993</v>
      </c>
      <c r="AB19" s="124">
        <v>10.9</v>
      </c>
      <c r="AC19" s="124">
        <v>22</v>
      </c>
      <c r="AD19" s="124">
        <v>-1.4</v>
      </c>
      <c r="AE19" s="124">
        <v>5.3</v>
      </c>
      <c r="AF19" s="124">
        <v>5.7</v>
      </c>
      <c r="AG19" s="124">
        <v>13.3</v>
      </c>
      <c r="AH19" s="123">
        <v>0</v>
      </c>
      <c r="AI19" s="126">
        <v>1.1000000000000001</v>
      </c>
      <c r="AJ19" s="128">
        <v>11.7</v>
      </c>
      <c r="AK19" s="128">
        <v>4.2</v>
      </c>
      <c r="AL19" s="123">
        <v>-3</v>
      </c>
      <c r="AM19" s="129" t="s">
        <v>1134</v>
      </c>
      <c r="AN19" s="123">
        <v>-1.7</v>
      </c>
      <c r="AO19" s="125">
        <v>9.4</v>
      </c>
      <c r="AP19" s="139" t="s">
        <v>636</v>
      </c>
      <c r="AQ19" s="122">
        <v>4.9000000000000004</v>
      </c>
      <c r="AR19" s="125">
        <v>0.8</v>
      </c>
      <c r="AS19" s="125">
        <v>3.3</v>
      </c>
      <c r="AT19" s="125">
        <v>2.1</v>
      </c>
      <c r="AU19" s="125">
        <v>-3.3</v>
      </c>
      <c r="AV19" s="125">
        <v>-2.6</v>
      </c>
      <c r="AW19" s="139" t="s">
        <v>1069</v>
      </c>
      <c r="AX19" s="122">
        <v>7</v>
      </c>
      <c r="AY19" s="125">
        <v>-4.5999999999999996</v>
      </c>
      <c r="AZ19" s="126">
        <v>0</v>
      </c>
      <c r="BA19" s="126">
        <v>-1.7</v>
      </c>
      <c r="BB19" s="126">
        <v>0.8</v>
      </c>
      <c r="BC19" s="122">
        <v>-0.1</v>
      </c>
      <c r="BD19" s="125">
        <f ca="1">INDIRECT(ADDRESS(MATCH($B19,'【別紙1】標高（入力）'!$B:$B,0),'【別紙1】標高（入力）'!AD$2,4,TRUE,"【別紙1】標高（入力）"))</f>
        <v>1.0999999999992127</v>
      </c>
      <c r="BE19" s="126">
        <f ca="1">INDIRECT(ADDRESS(MATCH($B19,'【別紙1】標高（入力）'!$B:$B,0),'【別紙1】標高（入力）'!AE$2,4,TRUE,"【別紙1】標高（入力）"))</f>
        <v>2.3999999999997357</v>
      </c>
      <c r="BF19" s="121">
        <f ca="1">INDIRECT(ADDRESS(MATCH($B19,'【別紙1】標高（入力）'!$B:$B,0),'【別紙1】標高（入力）'!AF$2,4,TRUE,"【別紙1】標高（入力）"))</f>
        <v>1.1000000000009891</v>
      </c>
      <c r="BG19" s="121">
        <f ca="1">INDIRECT(ADDRESS(MATCH($B19,'【別紙1】標高（入力）'!$B:$B,0),'【別紙1】標高（入力）'!AG$2,4,TRUE,"【別紙1】標高（入力）"))</f>
        <v>0</v>
      </c>
      <c r="BH19" s="660" t="s">
        <v>1552</v>
      </c>
      <c r="BI19" s="632"/>
      <c r="BJ19" s="569">
        <f ca="1">INDIRECT(ADDRESS(MATCH($B19,'【別紙1】標高（入力）'!$B:$B,0),'【別紙1】標高（入力）'!AJ$2,4,TRUE,"【別紙1】標高（入力）"))</f>
        <v>0.59999999999860165</v>
      </c>
      <c r="BK19" s="598" t="str">
        <f t="shared" si="4"/>
        <v>-</v>
      </c>
      <c r="BL19" s="604">
        <f t="shared" ca="1" si="5"/>
        <v>320.99999999999994</v>
      </c>
      <c r="BM19" s="600" t="str">
        <f ca="1">INDIRECT(ADDRESS(MATCH($B19,'【別紙1】標高（入力）'!$B:$B,0),'【別紙1】標高（入力）'!$N$2,4,TRUE,"【別紙1】標高（入力）"))</f>
        <v>R3</v>
      </c>
      <c r="BN19" s="342">
        <f ca="1">INDIRECT(ADDRESS(MATCH($B19,'【別紙1】標高（入力）'!$B:$B,0),'【別紙1】標高（入力）'!$O$2,4,TRUE,"【別紙1】標高（入力）"))</f>
        <v>8.7067999999999994</v>
      </c>
      <c r="BO19" s="392" t="s">
        <v>1135</v>
      </c>
    </row>
    <row r="20" spans="1:67" ht="15.95" customHeight="1">
      <c r="A20" s="214">
        <v>205</v>
      </c>
      <c r="B20" s="215" t="s">
        <v>420</v>
      </c>
      <c r="C20" s="216" t="s">
        <v>38</v>
      </c>
      <c r="D20" s="217" t="s">
        <v>48</v>
      </c>
      <c r="E20" s="218" t="s">
        <v>49</v>
      </c>
      <c r="F20" s="219" t="s">
        <v>9</v>
      </c>
      <c r="G20" s="220" t="s">
        <v>19</v>
      </c>
      <c r="H20" s="220" t="s">
        <v>541</v>
      </c>
      <c r="I20" s="220" t="s">
        <v>539</v>
      </c>
      <c r="J20" s="220" t="s">
        <v>265</v>
      </c>
      <c r="K20" s="222"/>
      <c r="L20" s="233" t="s">
        <v>636</v>
      </c>
      <c r="M20" s="221">
        <v>49.3</v>
      </c>
      <c r="N20" s="222">
        <v>5.4</v>
      </c>
      <c r="O20" s="222">
        <v>6.1</v>
      </c>
      <c r="P20" s="222">
        <v>13.4</v>
      </c>
      <c r="Q20" s="222">
        <v>6.5</v>
      </c>
      <c r="R20" s="222">
        <v>6.5</v>
      </c>
      <c r="S20" s="222">
        <v>-4.4000000000000004</v>
      </c>
      <c r="T20" s="222">
        <v>2</v>
      </c>
      <c r="U20" s="222">
        <v>6.2</v>
      </c>
      <c r="V20" s="222">
        <v>9.3000000000000007</v>
      </c>
      <c r="W20" s="222">
        <v>13.9</v>
      </c>
      <c r="X20" s="222">
        <v>10</v>
      </c>
      <c r="Y20" s="222">
        <v>-1.2</v>
      </c>
      <c r="Z20" s="222">
        <v>7.7</v>
      </c>
      <c r="AA20" s="222">
        <v>3.8</v>
      </c>
      <c r="AB20" s="222">
        <v>4</v>
      </c>
      <c r="AC20" s="222">
        <v>10</v>
      </c>
      <c r="AD20" s="222">
        <v>0.8</v>
      </c>
      <c r="AE20" s="222">
        <v>3.4</v>
      </c>
      <c r="AF20" s="222">
        <v>4.0999999999999996</v>
      </c>
      <c r="AG20" s="222">
        <v>5.6</v>
      </c>
      <c r="AH20" s="224">
        <v>-1.9</v>
      </c>
      <c r="AI20" s="226">
        <v>0.6</v>
      </c>
      <c r="AJ20" s="223">
        <v>3.2</v>
      </c>
      <c r="AK20" s="223">
        <v>2.2999999999999998</v>
      </c>
      <c r="AL20" s="224">
        <v>0.7</v>
      </c>
      <c r="AM20" s="222">
        <v>9.99999999997669E-2</v>
      </c>
      <c r="AN20" s="224">
        <v>-1</v>
      </c>
      <c r="AO20" s="225">
        <v>5.7</v>
      </c>
      <c r="AP20" s="227" t="s">
        <v>636</v>
      </c>
      <c r="AQ20" s="228">
        <v>9.4</v>
      </c>
      <c r="AR20" s="225">
        <v>6.5</v>
      </c>
      <c r="AS20" s="225">
        <v>2.8</v>
      </c>
      <c r="AT20" s="225">
        <v>6.5</v>
      </c>
      <c r="AU20" s="225">
        <v>0.7</v>
      </c>
      <c r="AV20" s="225">
        <v>-1.6</v>
      </c>
      <c r="AW20" s="227" t="s">
        <v>1068</v>
      </c>
      <c r="AX20" s="228"/>
      <c r="AY20" s="228">
        <v>0.9</v>
      </c>
      <c r="AZ20" s="227" t="s">
        <v>1069</v>
      </c>
      <c r="BA20" s="228">
        <v>-2.1</v>
      </c>
      <c r="BB20" s="226">
        <v>-0.2</v>
      </c>
      <c r="BC20" s="227" t="s">
        <v>1069</v>
      </c>
      <c r="BD20" s="228">
        <f ca="1">INDIRECT(ADDRESS(MATCH($B20,'【別紙1】標高（入力）'!$B:$B,0),'【別紙1】標高（入力）'!AD$2,4,TRUE,"【別紙1】標高（入力）"))</f>
        <v>2.3999999999997357</v>
      </c>
      <c r="BE20" s="227" t="s">
        <v>1333</v>
      </c>
      <c r="BF20" s="229">
        <f ca="1">INDIRECT(ADDRESS(MATCH($B20,'【別紙1】標高（入力）'!$B:$B,0),'【別紙1】標高（入力）'!AF$2,4,TRUE,"【別紙1】標高（入力）"))</f>
        <v>1.200000000000756</v>
      </c>
      <c r="BG20" s="225" t="str">
        <f ca="1">INDIRECT(ADDRESS(MATCH($B20,'【別紙1】標高（入力）'!$B:$B,0),'【別紙1】標高（入力）'!AG$2,4,TRUE,"【別紙1】標高（入力）"))</f>
        <v/>
      </c>
      <c r="BH20" s="228" t="str">
        <f ca="1">INDIRECT(ADDRESS(MATCH($B20,'【別紙1】標高（入力）'!$B:$B,0),'【別紙1】標高（入力）'!AH$2,4,TRUE,"【別紙1】標高（入力）"))</f>
        <v/>
      </c>
      <c r="BI20" s="228"/>
      <c r="BJ20" s="625" t="str">
        <f ca="1">INDIRECT(ADDRESS(MATCH($B20,'【別紙1】標高（入力）'!$B:$B,0),'【別紙1】標高（入力）'!AJ$2,4,TRUE,"【別紙1】標高（入力）"))</f>
        <v/>
      </c>
      <c r="BK20" s="598" t="str">
        <f t="shared" ca="1" si="4"/>
        <v>-</v>
      </c>
      <c r="BL20" s="604">
        <f t="shared" ca="1" si="5"/>
        <v>198.60000000000028</v>
      </c>
      <c r="BM20" s="601" t="str">
        <f ca="1">INDIRECT(ADDRESS(MATCH($B20,'【別紙1】標高（入力）'!$B:$B,0),'【別紙1】標高（入力）'!$N$2,4,TRUE,"【別紙1】標高（入力）"))</f>
        <v>R2</v>
      </c>
      <c r="BN20" s="343">
        <f ca="1">INDIRECT(ADDRESS(MATCH($B20,'【別紙1】標高（入力）'!$B:$B,0),'【別紙1】標高（入力）'!$O$2,4,TRUE,"【別紙1】標高（入力）"))</f>
        <v>9.6671999999999993</v>
      </c>
      <c r="BO20" s="393" t="s">
        <v>1374</v>
      </c>
    </row>
    <row r="21" spans="1:67" ht="15.95" customHeight="1">
      <c r="A21" s="119">
        <v>206</v>
      </c>
      <c r="B21" s="107" t="s">
        <v>422</v>
      </c>
      <c r="C21" s="114" t="s">
        <v>38</v>
      </c>
      <c r="D21" s="110" t="s">
        <v>578</v>
      </c>
      <c r="E21" s="109" t="s">
        <v>51</v>
      </c>
      <c r="F21" s="111" t="s">
        <v>9</v>
      </c>
      <c r="G21" s="112" t="s">
        <v>19</v>
      </c>
      <c r="H21" s="112" t="s">
        <v>541</v>
      </c>
      <c r="I21" s="112" t="s">
        <v>539</v>
      </c>
      <c r="J21" s="112" t="s">
        <v>265</v>
      </c>
      <c r="K21" s="222"/>
      <c r="L21" s="136" t="s">
        <v>636</v>
      </c>
      <c r="M21" s="127">
        <v>74</v>
      </c>
      <c r="N21" s="124">
        <v>9.9</v>
      </c>
      <c r="O21" s="124">
        <v>4.5999999999999996</v>
      </c>
      <c r="P21" s="124">
        <v>15.7</v>
      </c>
      <c r="Q21" s="124">
        <v>21.9</v>
      </c>
      <c r="R21" s="124">
        <v>22.6</v>
      </c>
      <c r="S21" s="124">
        <v>-10.5</v>
      </c>
      <c r="T21" s="124">
        <v>16.399999999999999</v>
      </c>
      <c r="U21" s="124">
        <v>6.1</v>
      </c>
      <c r="V21" s="124">
        <v>5.6</v>
      </c>
      <c r="W21" s="124">
        <v>24.1</v>
      </c>
      <c r="X21" s="124">
        <v>2.9</v>
      </c>
      <c r="Y21" s="124">
        <v>-3.1</v>
      </c>
      <c r="Z21" s="124">
        <v>7</v>
      </c>
      <c r="AA21" s="124">
        <v>5.0999999999999996</v>
      </c>
      <c r="AB21" s="124">
        <v>1.6</v>
      </c>
      <c r="AC21" s="124">
        <v>4.7</v>
      </c>
      <c r="AD21" s="124">
        <v>0.6</v>
      </c>
      <c r="AE21" s="124">
        <v>0.3</v>
      </c>
      <c r="AF21" s="124">
        <v>1.8</v>
      </c>
      <c r="AG21" s="124">
        <v>3.9</v>
      </c>
      <c r="AH21" s="123">
        <v>-2.8</v>
      </c>
      <c r="AI21" s="126">
        <v>4.2</v>
      </c>
      <c r="AJ21" s="128">
        <v>2.4</v>
      </c>
      <c r="AK21" s="128">
        <v>0.4</v>
      </c>
      <c r="AL21" s="123">
        <v>0.2</v>
      </c>
      <c r="AM21" s="124">
        <v>-0.19999999999953399</v>
      </c>
      <c r="AN21" s="123">
        <v>-2.4</v>
      </c>
      <c r="AO21" s="125">
        <v>4.5</v>
      </c>
      <c r="AP21" s="139" t="s">
        <v>636</v>
      </c>
      <c r="AQ21" s="122">
        <v>4</v>
      </c>
      <c r="AR21" s="125">
        <v>0.2</v>
      </c>
      <c r="AS21" s="125">
        <v>1.4</v>
      </c>
      <c r="AT21" s="125">
        <v>1.8</v>
      </c>
      <c r="AU21" s="125">
        <v>-3.4</v>
      </c>
      <c r="AV21" s="125">
        <v>-2.2000000000000002</v>
      </c>
      <c r="AW21" s="139" t="s">
        <v>1068</v>
      </c>
      <c r="AX21" s="122"/>
      <c r="AY21" s="122">
        <v>-3.2</v>
      </c>
      <c r="AZ21" s="139" t="s">
        <v>1069</v>
      </c>
      <c r="BA21" s="122">
        <v>-2.8</v>
      </c>
      <c r="BB21" s="126">
        <v>0</v>
      </c>
      <c r="BC21" s="139" t="s">
        <v>1069</v>
      </c>
      <c r="BD21" s="122">
        <f ca="1">INDIRECT(ADDRESS(MATCH($B21,'【別紙1】標高（入力）'!$B:$B,0),'【別紙1】標高（入力）'!AD$2,4,TRUE,"【別紙1】標高（入力）"))</f>
        <v>1.5000000000000568</v>
      </c>
      <c r="BE21" s="139" t="s">
        <v>1333</v>
      </c>
      <c r="BF21" s="121">
        <f ca="1">INDIRECT(ADDRESS(MATCH($B21,'【別紙1】標高（入力）'!$B:$B,0),'【別紙1】標高（入力）'!AF$2,4,TRUE,"【別紙1】標高（入力）"))</f>
        <v>-2.5999999999992696</v>
      </c>
      <c r="BG21" s="121">
        <f ca="1">INDIRECT(ADDRESS(MATCH($B21,'【別紙1】標高（入力）'!$B:$B,0),'【別紙1】標高（入力）'!AG$2,4,TRUE,"【別紙1】標高（入力）"))</f>
        <v>1.0999999999992127</v>
      </c>
      <c r="BH21" s="660" t="s">
        <v>1552</v>
      </c>
      <c r="BI21" s="632"/>
      <c r="BJ21" s="568">
        <f ca="1">INDIRECT(ADDRESS(MATCH($B21,'【別紙1】標高（入力）'!$B:$B,0),'【別紙1】標高（入力）'!AJ$2,4,TRUE,"【別紙1】標高（入力）"))</f>
        <v>0.79999999999991189</v>
      </c>
      <c r="BK21" s="598" t="str">
        <f t="shared" si="4"/>
        <v>-</v>
      </c>
      <c r="BL21" s="604">
        <f t="shared" ca="1" si="5"/>
        <v>217.30000000000047</v>
      </c>
      <c r="BM21" s="600" t="str">
        <f ca="1">INDIRECT(ADDRESS(MATCH($B21,'【別紙1】標高（入力）'!$B:$B,0),'【別紙1】標高（入力）'!$N$2,4,TRUE,"【別紙1】標高（入力）"))</f>
        <v>R3</v>
      </c>
      <c r="BN21" s="342">
        <f ca="1">INDIRECT(ADDRESS(MATCH($B21,'【別紙1】標高（入力）'!$B:$B,0),'【別紙1】標高（入力）'!$O$2,4,TRUE,"【別紙1】標高（入力）"))</f>
        <v>8.7611000000000008</v>
      </c>
      <c r="BO21" s="392"/>
    </row>
    <row r="22" spans="1:67" ht="15.95" customHeight="1">
      <c r="A22" s="119">
        <v>207</v>
      </c>
      <c r="B22" s="107" t="s">
        <v>367</v>
      </c>
      <c r="C22" s="114" t="s">
        <v>38</v>
      </c>
      <c r="D22" s="110" t="s">
        <v>665</v>
      </c>
      <c r="E22" s="109" t="s">
        <v>53</v>
      </c>
      <c r="F22" s="111" t="s">
        <v>9</v>
      </c>
      <c r="G22" s="112" t="s">
        <v>19</v>
      </c>
      <c r="H22" s="112" t="s">
        <v>541</v>
      </c>
      <c r="I22" s="112" t="s">
        <v>54</v>
      </c>
      <c r="J22" s="112" t="s">
        <v>265</v>
      </c>
      <c r="K22" s="222"/>
      <c r="L22" s="124">
        <v>46.1</v>
      </c>
      <c r="M22" s="124">
        <v>4.7</v>
      </c>
      <c r="N22" s="124">
        <v>38.4</v>
      </c>
      <c r="O22" s="124">
        <v>14.2</v>
      </c>
      <c r="P22" s="124">
        <v>20.5</v>
      </c>
      <c r="Q22" s="124">
        <v>26.6</v>
      </c>
      <c r="R22" s="124">
        <v>31.8</v>
      </c>
      <c r="S22" s="124">
        <v>-12.2</v>
      </c>
      <c r="T22" s="124">
        <v>33.9</v>
      </c>
      <c r="U22" s="124">
        <v>9.8000000000000007</v>
      </c>
      <c r="V22" s="123">
        <v>35.700000000000003</v>
      </c>
      <c r="W22" s="411" t="s">
        <v>1270</v>
      </c>
      <c r="X22" s="127">
        <v>14.7</v>
      </c>
      <c r="Y22" s="124">
        <v>7.9</v>
      </c>
      <c r="Z22" s="124">
        <v>3.5</v>
      </c>
      <c r="AA22" s="124">
        <v>15.4</v>
      </c>
      <c r="AB22" s="124">
        <v>-1.8</v>
      </c>
      <c r="AC22" s="124">
        <v>13.9</v>
      </c>
      <c r="AD22" s="124">
        <v>-2.2000000000000002</v>
      </c>
      <c r="AE22" s="124">
        <v>2.9</v>
      </c>
      <c r="AF22" s="124">
        <v>3.9</v>
      </c>
      <c r="AG22" s="124">
        <v>4.3</v>
      </c>
      <c r="AH22" s="123">
        <v>0.2</v>
      </c>
      <c r="AI22" s="126">
        <v>13.8</v>
      </c>
      <c r="AJ22" s="128">
        <v>-10.3</v>
      </c>
      <c r="AK22" s="128">
        <v>7.7</v>
      </c>
      <c r="AL22" s="123">
        <v>-2.2000000000000002</v>
      </c>
      <c r="AM22" s="124">
        <v>3.8999999999997899</v>
      </c>
      <c r="AN22" s="123">
        <v>-2.8</v>
      </c>
      <c r="AO22" s="125">
        <v>2.5</v>
      </c>
      <c r="AP22" s="126">
        <v>8.8000000000000007</v>
      </c>
      <c r="AQ22" s="122">
        <v>-0.1</v>
      </c>
      <c r="AR22" s="125">
        <v>3.9</v>
      </c>
      <c r="AS22" s="125">
        <v>0.1</v>
      </c>
      <c r="AT22" s="139" t="s">
        <v>652</v>
      </c>
      <c r="AU22" s="122"/>
      <c r="AV22" s="122"/>
      <c r="AW22" s="122">
        <v>-1.8</v>
      </c>
      <c r="AX22" s="125">
        <v>7.5</v>
      </c>
      <c r="AY22" s="139" t="s">
        <v>1069</v>
      </c>
      <c r="AZ22" s="121">
        <v>-6.7</v>
      </c>
      <c r="BA22" s="458" t="s">
        <v>1069</v>
      </c>
      <c r="BB22" s="121">
        <v>-2.6</v>
      </c>
      <c r="BC22" s="122">
        <v>2</v>
      </c>
      <c r="BD22" s="139" t="s">
        <v>1069</v>
      </c>
      <c r="BE22" s="121">
        <f ca="1">INDIRECT(ADDRESS(MATCH($B22,'【別紙1】標高（入力）'!$B:$B,0),'【別紙1】標高（入力）'!AE$2,4,TRUE,"【別紙1】標高（入力）"))</f>
        <v>3.4000000000000696</v>
      </c>
      <c r="BF22" s="139" t="s">
        <v>1333</v>
      </c>
      <c r="BG22" s="121">
        <f ca="1">INDIRECT(ADDRESS(MATCH($B22,'【別紙1】標高（入力）'!$B:$B,0),'【別紙1】標高（入力）'!AG$2,4,TRUE,"【別紙1】標高（入力）"))</f>
        <v>5.9000000000004604</v>
      </c>
      <c r="BH22" s="126">
        <f ca="1">INDIRECT(ADDRESS(MATCH($B22,'【別紙1】標高（入力）'!$B:$B,0),'【別紙1】標高（入力）'!AH$2,4,TRUE,"【別紙1】標高（入力）"))</f>
        <v>-1.4000000000002899</v>
      </c>
      <c r="BI22" s="632" t="s">
        <v>1553</v>
      </c>
      <c r="BJ22" s="569">
        <f ca="1">INDIRECT(ADDRESS(MATCH($B22,'【別紙1】標高（入力）'!$B:$B,0),'【別紙1】標高（入力）'!AJ$2,4,TRUE,"【別紙1】標高（入力）"))</f>
        <v>-0.70000000000014495</v>
      </c>
      <c r="BK22" s="598" t="str">
        <f t="shared" ca="1" si="4"/>
        <v>-</v>
      </c>
      <c r="BL22" s="604">
        <f t="shared" ca="1" si="5"/>
        <v>343.79999999999995</v>
      </c>
      <c r="BM22" s="600" t="str">
        <f ca="1">INDIRECT(ADDRESS(MATCH($B22,'【別紙1】標高（入力）'!$B:$B,0),'【別紙1】標高（入力）'!$N$2,4,TRUE,"【別紙1】標高（入力）"))</f>
        <v>R4</v>
      </c>
      <c r="BN22" s="342">
        <f ca="1">INDIRECT(ADDRESS(MATCH($B22,'【別紙1】標高（入力）'!$B:$B,0),'【別紙1】標高（入力）'!$O$2,4,TRUE,"【別紙1】標高（入力）"))</f>
        <v>4.8574000000000002</v>
      </c>
      <c r="BO22" s="392"/>
    </row>
    <row r="23" spans="1:67" ht="15.95" customHeight="1">
      <c r="A23" s="119">
        <v>208</v>
      </c>
      <c r="B23" s="107" t="s">
        <v>588</v>
      </c>
      <c r="C23" s="114" t="s">
        <v>38</v>
      </c>
      <c r="D23" s="110" t="s">
        <v>678</v>
      </c>
      <c r="E23" s="109" t="s">
        <v>1404</v>
      </c>
      <c r="F23" s="111" t="s">
        <v>9</v>
      </c>
      <c r="G23" s="112" t="s">
        <v>10</v>
      </c>
      <c r="H23" s="112" t="s">
        <v>541</v>
      </c>
      <c r="I23" s="112" t="s">
        <v>54</v>
      </c>
      <c r="J23" s="112" t="s">
        <v>265</v>
      </c>
      <c r="K23" s="224"/>
      <c r="L23" s="228"/>
      <c r="M23" s="221"/>
      <c r="N23" s="136" t="s">
        <v>1273</v>
      </c>
      <c r="O23" s="122"/>
      <c r="P23" s="127">
        <v>59.2</v>
      </c>
      <c r="Q23" s="124">
        <v>21.2</v>
      </c>
      <c r="R23" s="124">
        <v>6.2</v>
      </c>
      <c r="S23" s="124">
        <v>-9.8000000000000007</v>
      </c>
      <c r="T23" s="124">
        <v>12.5</v>
      </c>
      <c r="U23" s="124">
        <v>11.3</v>
      </c>
      <c r="V23" s="124">
        <v>28.2</v>
      </c>
      <c r="W23" s="136" t="s">
        <v>679</v>
      </c>
      <c r="X23" s="122"/>
      <c r="Y23" s="122"/>
      <c r="Z23" s="122"/>
      <c r="AA23" s="122"/>
      <c r="AB23" s="122">
        <v>58.7</v>
      </c>
      <c r="AC23" s="411" t="s">
        <v>47</v>
      </c>
      <c r="AD23" s="127">
        <v>-0.1</v>
      </c>
      <c r="AE23" s="124">
        <v>7.9</v>
      </c>
      <c r="AF23" s="124">
        <v>8.6999999999999993</v>
      </c>
      <c r="AG23" s="124">
        <v>4</v>
      </c>
      <c r="AH23" s="123">
        <v>10.7</v>
      </c>
      <c r="AI23" s="126">
        <v>8.8000000000000007</v>
      </c>
      <c r="AJ23" s="128">
        <v>1.7</v>
      </c>
      <c r="AK23" s="128">
        <v>16.399999999999999</v>
      </c>
      <c r="AL23" s="123">
        <v>-2.2999999999999998</v>
      </c>
      <c r="AM23" s="136" t="s">
        <v>637</v>
      </c>
      <c r="AN23" s="121">
        <v>7.6</v>
      </c>
      <c r="AO23" s="125">
        <v>8.6999999999999993</v>
      </c>
      <c r="AP23" s="139" t="s">
        <v>636</v>
      </c>
      <c r="AQ23" s="122">
        <v>13.9</v>
      </c>
      <c r="AR23" s="139" t="s">
        <v>1072</v>
      </c>
      <c r="AS23" s="122"/>
      <c r="AT23" s="122"/>
      <c r="AU23" s="122"/>
      <c r="AV23" s="122"/>
      <c r="AW23" s="122">
        <v>12.8</v>
      </c>
      <c r="AX23" s="139" t="s">
        <v>1070</v>
      </c>
      <c r="AY23" s="122"/>
      <c r="AZ23" s="122"/>
      <c r="BA23" s="460"/>
      <c r="BB23" s="121">
        <v>-4.8</v>
      </c>
      <c r="BC23" s="139" t="s">
        <v>1070</v>
      </c>
      <c r="BD23" s="122" t="str">
        <f ca="1">INDIRECT(ADDRESS(MATCH($B23,'【別紙1】標高（入力）'!$B:$B,0),'【別紙1】標高（入力）'!AD$2,4,TRUE,"【別紙1】標高（入力）"))</f>
        <v/>
      </c>
      <c r="BE23" s="122" t="str">
        <f ca="1">INDIRECT(ADDRESS(MATCH($B23,'【別紙1】標高（入力）'!$B:$B,0),'【別紙1】標高（入力）'!AE$2,4,TRUE,"【別紙1】標高（入力）"))</f>
        <v/>
      </c>
      <c r="BF23" s="122" t="str">
        <f ca="1">INDIRECT(ADDRESS(MATCH($B23,'【別紙1】標高（入力）'!$B:$B,0),'【別紙1】標高（入力）'!AF$2,4,TRUE,"【別紙1】標高（入力）"))</f>
        <v/>
      </c>
      <c r="BG23" s="121">
        <f ca="1">INDIRECT(ADDRESS(MATCH($B23,'【別紙1】標高（入力）'!$B:$B,0),'【別紙1】標高（入力）'!AG$2,4,TRUE,"【別紙1】標高（入力）"))</f>
        <v>-1.1000000000001009</v>
      </c>
      <c r="BH23" s="660" t="s">
        <v>1552</v>
      </c>
      <c r="BI23" s="632"/>
      <c r="BJ23" s="569">
        <f ca="1">INDIRECT(ADDRESS(MATCH($B23,'【別紙1】標高（入力）'!$B:$B,0),'【別紙1】標高（入力）'!AJ$2,4,TRUE,"【別紙1】標高（入力）"))</f>
        <v>7.4000000000000732</v>
      </c>
      <c r="BK23" s="598" t="str">
        <f t="shared" si="4"/>
        <v>-</v>
      </c>
      <c r="BL23" s="604">
        <f t="shared" ca="1" si="5"/>
        <v>280.39999999999986</v>
      </c>
      <c r="BM23" s="600" t="str">
        <f ca="1">INDIRECT(ADDRESS(MATCH($B23,'【別紙1】標高（入力）'!$B:$B,0),'【別紙1】標高（入力）'!$N$2,4,TRUE,"【別紙1】標高（入力）"))</f>
        <v>R3</v>
      </c>
      <c r="BN23" s="340">
        <f ca="1">INDIRECT(ADDRESS(MATCH($B23,'【別紙1】標高（入力）'!$B:$B,0),'【別紙1】標高（入力）'!$O$2,4,TRUE,"【別紙1】標高（入力）"))</f>
        <v>2.7118000000000002</v>
      </c>
      <c r="BO23" s="392"/>
    </row>
    <row r="24" spans="1:67" ht="15.95" customHeight="1">
      <c r="A24" s="119">
        <v>209</v>
      </c>
      <c r="B24" s="107" t="s">
        <v>361</v>
      </c>
      <c r="C24" s="114" t="s">
        <v>38</v>
      </c>
      <c r="D24" s="110" t="s">
        <v>566</v>
      </c>
      <c r="E24" s="597" t="s">
        <v>1405</v>
      </c>
      <c r="F24" s="111" t="s">
        <v>9</v>
      </c>
      <c r="G24" s="112" t="s">
        <v>10</v>
      </c>
      <c r="H24" s="112" t="s">
        <v>541</v>
      </c>
      <c r="I24" s="112" t="s">
        <v>54</v>
      </c>
      <c r="J24" s="112" t="s">
        <v>265</v>
      </c>
      <c r="K24" s="224"/>
      <c r="L24" s="228"/>
      <c r="M24" s="221"/>
      <c r="N24" s="124">
        <v>17.7</v>
      </c>
      <c r="O24" s="124">
        <v>12.7</v>
      </c>
      <c r="P24" s="124">
        <v>5.7</v>
      </c>
      <c r="Q24" s="124">
        <v>30.8</v>
      </c>
      <c r="R24" s="124">
        <v>15.1</v>
      </c>
      <c r="S24" s="124">
        <v>-20.2</v>
      </c>
      <c r="T24" s="124">
        <v>12.3</v>
      </c>
      <c r="U24" s="124">
        <v>2.6</v>
      </c>
      <c r="V24" s="124">
        <v>35</v>
      </c>
      <c r="W24" s="136" t="s">
        <v>679</v>
      </c>
      <c r="X24" s="122"/>
      <c r="Y24" s="122"/>
      <c r="Z24" s="122"/>
      <c r="AA24" s="122"/>
      <c r="AB24" s="122">
        <v>35.799999999999997</v>
      </c>
      <c r="AC24" s="411" t="s">
        <v>47</v>
      </c>
      <c r="AD24" s="127">
        <v>5.4</v>
      </c>
      <c r="AE24" s="124">
        <v>-2.7</v>
      </c>
      <c r="AF24" s="124">
        <v>4.9000000000000004</v>
      </c>
      <c r="AG24" s="124">
        <v>7</v>
      </c>
      <c r="AH24" s="123">
        <v>5.4</v>
      </c>
      <c r="AI24" s="126">
        <v>21.5</v>
      </c>
      <c r="AJ24" s="123">
        <v>3.5</v>
      </c>
      <c r="AK24" s="411" t="s">
        <v>300</v>
      </c>
      <c r="AL24" s="122">
        <v>0.5</v>
      </c>
      <c r="AM24" s="136" t="s">
        <v>637</v>
      </c>
      <c r="AN24" s="127">
        <v>21.3</v>
      </c>
      <c r="AO24" s="123">
        <v>19.7</v>
      </c>
      <c r="AP24" s="139" t="s">
        <v>636</v>
      </c>
      <c r="AQ24" s="122">
        <v>26.2</v>
      </c>
      <c r="AR24" s="139" t="s">
        <v>1072</v>
      </c>
      <c r="AS24" s="122"/>
      <c r="AT24" s="122"/>
      <c r="AU24" s="122"/>
      <c r="AV24" s="122"/>
      <c r="AW24" s="121">
        <v>54.1</v>
      </c>
      <c r="AX24" s="139" t="s">
        <v>1070</v>
      </c>
      <c r="AY24" s="122"/>
      <c r="AZ24" s="122"/>
      <c r="BA24" s="460"/>
      <c r="BB24" s="121">
        <v>5.3</v>
      </c>
      <c r="BC24" s="139" t="s">
        <v>1070</v>
      </c>
      <c r="BD24" s="122" t="str">
        <f ca="1">INDIRECT(ADDRESS(MATCH($B24,'【別紙1】標高（入力）'!$B:$B,0),'【別紙1】標高（入力）'!AD$2,4,TRUE,"【別紙1】標高（入力）"))</f>
        <v/>
      </c>
      <c r="BE24" s="122" t="str">
        <f ca="1">INDIRECT(ADDRESS(MATCH($B24,'【別紙1】標高（入力）'!$B:$B,0),'【別紙1】標高（入力）'!AE$2,4,TRUE,"【別紙1】標高（入力）"))</f>
        <v/>
      </c>
      <c r="BF24" s="122" t="str">
        <f ca="1">INDIRECT(ADDRESS(MATCH($B24,'【別紙1】標高（入力）'!$B:$B,0),'【別紙1】標高（入力）'!AF$2,4,TRUE,"【別紙1】標高（入力）"))</f>
        <v/>
      </c>
      <c r="BG24" s="121">
        <f ca="1">INDIRECT(ADDRESS(MATCH($B24,'【別紙1】標高（入力）'!$B:$B,0),'【別紙1】標高（入力）'!AG$2,4,TRUE,"【別紙1】標高（入力）"))</f>
        <v>2.1999999999997577</v>
      </c>
      <c r="BH24" s="139" t="s">
        <v>1550</v>
      </c>
      <c r="BI24" s="122">
        <f ca="1">INDIRECT(ADDRESS(MATCH($B24,'【別紙1】標高（入力）'!$B:$B,0),'【別紙1】標高（入力）'!AI$2,4,TRUE,"【別紙1】標高（入力）"))</f>
        <v>2.4999999999999467</v>
      </c>
      <c r="BJ24" s="658">
        <f ca="1">INDIRECT(ADDRESS(MATCH($B24,'【別紙1】標高（入力）'!$B:$B,0),'【別紙1】標高（入力）'!AJ$2,4,TRUE,"【別紙1】標高（入力）"))</f>
        <v>2.5000000000003908</v>
      </c>
      <c r="BK24" s="598" t="str">
        <f t="shared" ca="1" si="4"/>
        <v>-</v>
      </c>
      <c r="BL24" s="604">
        <f t="shared" ca="1" si="5"/>
        <v>324.29999999999978</v>
      </c>
      <c r="BM24" s="600" t="str">
        <f ca="1">INDIRECT(ADDRESS(MATCH($B24,'【別紙1】標高（入力）'!$B:$B,0),'【別紙1】標高（入力）'!$N$2,4,TRUE,"【別紙1】標高（入力）"))</f>
        <v>R5</v>
      </c>
      <c r="BN24" s="340">
        <f ca="1">INDIRECT(ADDRESS(MATCH($B24,'【別紙1】標高（入力）'!$B:$B,0),'【別紙1】標高（入力）'!$O$2,4,TRUE,"【別紙1】標高（入力）"))</f>
        <v>3.0386000000000002</v>
      </c>
      <c r="BO24" s="392"/>
    </row>
    <row r="25" spans="1:67" ht="15.95" customHeight="1">
      <c r="A25" s="119">
        <v>210</v>
      </c>
      <c r="B25" s="107" t="s">
        <v>373</v>
      </c>
      <c r="C25" s="114" t="s">
        <v>38</v>
      </c>
      <c r="D25" s="110" t="s">
        <v>697</v>
      </c>
      <c r="E25" s="109" t="s">
        <v>57</v>
      </c>
      <c r="F25" s="111" t="s">
        <v>9</v>
      </c>
      <c r="G25" s="112" t="s">
        <v>19</v>
      </c>
      <c r="H25" s="112" t="s">
        <v>541</v>
      </c>
      <c r="I25" s="112" t="s">
        <v>539</v>
      </c>
      <c r="J25" s="112" t="s">
        <v>265</v>
      </c>
      <c r="K25" s="222"/>
      <c r="L25" s="136" t="s">
        <v>636</v>
      </c>
      <c r="M25" s="127">
        <v>38.799999999999997</v>
      </c>
      <c r="N25" s="124">
        <v>7.1</v>
      </c>
      <c r="O25" s="124">
        <v>4.9000000000000004</v>
      </c>
      <c r="P25" s="124">
        <v>10.4</v>
      </c>
      <c r="Q25" s="124">
        <v>4.8</v>
      </c>
      <c r="R25" s="124">
        <v>4.5</v>
      </c>
      <c r="S25" s="124">
        <v>-10.1</v>
      </c>
      <c r="T25" s="124">
        <v>7.3</v>
      </c>
      <c r="U25" s="129" t="s">
        <v>1279</v>
      </c>
      <c r="V25" s="124">
        <v>21.1</v>
      </c>
      <c r="W25" s="124">
        <v>17.399999999999999</v>
      </c>
      <c r="X25" s="124">
        <v>9.1999999999999993</v>
      </c>
      <c r="Y25" s="124">
        <v>3</v>
      </c>
      <c r="Z25" s="124">
        <v>6.6</v>
      </c>
      <c r="AA25" s="124">
        <v>10.6</v>
      </c>
      <c r="AB25" s="124">
        <v>-2.2000000000000002</v>
      </c>
      <c r="AC25" s="124">
        <v>9.6999999999999993</v>
      </c>
      <c r="AD25" s="124">
        <v>-0.3</v>
      </c>
      <c r="AE25" s="124">
        <v>0.2</v>
      </c>
      <c r="AF25" s="124">
        <v>4.3</v>
      </c>
      <c r="AG25" s="124">
        <v>2.2999999999999998</v>
      </c>
      <c r="AH25" s="123">
        <v>0.2</v>
      </c>
      <c r="AI25" s="126">
        <v>9</v>
      </c>
      <c r="AJ25" s="128">
        <v>-3</v>
      </c>
      <c r="AK25" s="128">
        <v>3.7</v>
      </c>
      <c r="AL25" s="123">
        <v>1</v>
      </c>
      <c r="AM25" s="124">
        <v>3.4999999999998401</v>
      </c>
      <c r="AN25" s="124">
        <v>-3.7</v>
      </c>
      <c r="AO25" s="123">
        <v>5.7</v>
      </c>
      <c r="AP25" s="126">
        <v>5.8</v>
      </c>
      <c r="AQ25" s="122">
        <v>-0.7</v>
      </c>
      <c r="AR25" s="125">
        <v>2</v>
      </c>
      <c r="AS25" s="125">
        <v>0.1</v>
      </c>
      <c r="AT25" s="139" t="s">
        <v>652</v>
      </c>
      <c r="AU25" s="122"/>
      <c r="AV25" s="122"/>
      <c r="AW25" s="122">
        <v>-1</v>
      </c>
      <c r="AX25" s="139" t="s">
        <v>1069</v>
      </c>
      <c r="AY25" s="122">
        <v>1.5</v>
      </c>
      <c r="AZ25" s="139" t="s">
        <v>1068</v>
      </c>
      <c r="BA25" s="460"/>
      <c r="BB25" s="121">
        <v>-4.5999999999999996</v>
      </c>
      <c r="BC25" s="139" t="s">
        <v>1069</v>
      </c>
      <c r="BD25" s="122">
        <f ca="1">INDIRECT(ADDRESS(MATCH($B25,'【別紙1】標高（入力）'!$B:$B,0),'【別紙1】標高（入力）'!AD$2,4,TRUE,"【別紙1】標高（入力）"))</f>
        <v>3.3000000000003027</v>
      </c>
      <c r="BE25" s="139" t="s">
        <v>1334</v>
      </c>
      <c r="BF25" s="122" t="str">
        <f ca="1">INDIRECT(ADDRESS(MATCH($B25,'【別紙1】標高（入力）'!$B:$B,0),'【別紙1】標高（入力）'!AF$2,4,TRUE,"【別紙1】標高（入力）"))</f>
        <v/>
      </c>
      <c r="BG25" s="121">
        <f ca="1">INDIRECT(ADDRESS(MATCH($B25,'【別紙1】標高（入力）'!$B:$B,0),'【別紙1】標高（入力）'!AG$2,4,TRUE,"【別紙1】標高（入力）"))</f>
        <v>2.0999999999995467</v>
      </c>
      <c r="BH25" s="125" t="str">
        <f ca="1">INDIRECT(ADDRESS(MATCH($B25,'【別紙1】標高（入力）'!$B:$B,0),'【別紙1】標高（入力）'!AH$2,4,TRUE,"【別紙1】標高（入力）"))</f>
        <v/>
      </c>
      <c r="BI25" s="122"/>
      <c r="BJ25" s="624" t="str">
        <f ca="1">INDIRECT(ADDRESS(MATCH($B25,'【別紙1】標高（入力）'!$B:$B,0),'【別紙1】標高（入力）'!AJ$2,4,TRUE,"【別紙1】標高（入力）"))</f>
        <v/>
      </c>
      <c r="BK25" s="598" t="str">
        <f t="shared" ca="1" si="4"/>
        <v>-</v>
      </c>
      <c r="BL25" s="604">
        <f t="shared" ca="1" si="5"/>
        <v>174.49999999999969</v>
      </c>
      <c r="BM25" s="600" t="str">
        <f ca="1">INDIRECT(ADDRESS(MATCH($B25,'【別紙1】標高（入力）'!$B:$B,0),'【別紙1】標高（入力）'!$N$2,4,TRUE,"【別紙1】標高（入力）"))</f>
        <v>R3</v>
      </c>
      <c r="BN25" s="342">
        <f ca="1">INDIRECT(ADDRESS(MATCH($B25,'【別紙1】標高（入力）'!$B:$B,0),'【別紙1】標高（入力）'!$O$2,4,TRUE,"【別紙1】標高（入力）"))</f>
        <v>6.6867000000000001</v>
      </c>
      <c r="BO25" s="392"/>
    </row>
    <row r="26" spans="1:67" s="231" customFormat="1" ht="15.95" customHeight="1">
      <c r="A26" s="214">
        <v>211</v>
      </c>
      <c r="B26" s="215" t="s">
        <v>371</v>
      </c>
      <c r="C26" s="216" t="s">
        <v>38</v>
      </c>
      <c r="D26" s="217" t="s">
        <v>698</v>
      </c>
      <c r="E26" s="218" t="s">
        <v>59</v>
      </c>
      <c r="F26" s="219" t="s">
        <v>9</v>
      </c>
      <c r="G26" s="220" t="s">
        <v>19</v>
      </c>
      <c r="H26" s="220" t="s">
        <v>541</v>
      </c>
      <c r="I26" s="220" t="s">
        <v>539</v>
      </c>
      <c r="J26" s="220" t="s">
        <v>265</v>
      </c>
      <c r="K26" s="222"/>
      <c r="L26" s="136" t="s">
        <v>636</v>
      </c>
      <c r="M26" s="127">
        <v>79.599999999999994</v>
      </c>
      <c r="N26" s="124">
        <v>30.4</v>
      </c>
      <c r="O26" s="124">
        <v>18.5</v>
      </c>
      <c r="P26" s="124">
        <v>15.4</v>
      </c>
      <c r="Q26" s="124">
        <v>17.100000000000001</v>
      </c>
      <c r="R26" s="124">
        <v>9.8000000000000007</v>
      </c>
      <c r="S26" s="124">
        <v>-4.7</v>
      </c>
      <c r="T26" s="124">
        <v>6.3</v>
      </c>
      <c r="U26" s="124">
        <v>7.5</v>
      </c>
      <c r="V26" s="124">
        <v>10.1</v>
      </c>
      <c r="W26" s="124">
        <v>9.6999999999999993</v>
      </c>
      <c r="X26" s="124">
        <v>4.7</v>
      </c>
      <c r="Y26" s="124">
        <v>-0.7</v>
      </c>
      <c r="Z26" s="124">
        <v>2.5</v>
      </c>
      <c r="AA26" s="124">
        <v>10</v>
      </c>
      <c r="AB26" s="124">
        <v>-2.1</v>
      </c>
      <c r="AC26" s="124">
        <v>8</v>
      </c>
      <c r="AD26" s="124">
        <v>-1.1000000000000001</v>
      </c>
      <c r="AE26" s="124">
        <v>-0.7</v>
      </c>
      <c r="AF26" s="124">
        <v>3.7</v>
      </c>
      <c r="AG26" s="124">
        <v>1.3</v>
      </c>
      <c r="AH26" s="123">
        <v>1</v>
      </c>
      <c r="AI26" s="126">
        <v>9.8000000000000007</v>
      </c>
      <c r="AJ26" s="128">
        <v>-5</v>
      </c>
      <c r="AK26" s="128">
        <v>3.2</v>
      </c>
      <c r="AL26" s="123">
        <v>-0.2</v>
      </c>
      <c r="AM26" s="124">
        <v>3.4999999999998401</v>
      </c>
      <c r="AN26" s="124">
        <v>-3.8</v>
      </c>
      <c r="AO26" s="123">
        <v>4.4000000000000004</v>
      </c>
      <c r="AP26" s="126">
        <v>7.2</v>
      </c>
      <c r="AQ26" s="122">
        <v>-0.2</v>
      </c>
      <c r="AR26" s="125">
        <v>1.9</v>
      </c>
      <c r="AS26" s="125">
        <v>-0.5</v>
      </c>
      <c r="AT26" s="139" t="s">
        <v>652</v>
      </c>
      <c r="AU26" s="122"/>
      <c r="AV26" s="122"/>
      <c r="AW26" s="122">
        <v>-3.7</v>
      </c>
      <c r="AX26" s="225"/>
      <c r="AY26" s="228"/>
      <c r="AZ26" s="228"/>
      <c r="BA26" s="462"/>
      <c r="BB26" s="232"/>
      <c r="BC26" s="228"/>
      <c r="BD26" s="228"/>
      <c r="BE26" s="228"/>
      <c r="BF26" s="228"/>
      <c r="BG26" s="228"/>
      <c r="BH26" s="625"/>
      <c r="BI26" s="228"/>
      <c r="BJ26" s="570" t="str">
        <f ca="1">INDIRECT(ADDRESS(MATCH($B26,'【別紙1】標高（入力）'!$B:$B,0),'【別紙1】標高（入力）'!AJ$2,4,TRUE,"【別紙1】標高（入力）"))</f>
        <v/>
      </c>
      <c r="BK26" s="599" t="str">
        <f t="shared" si="0"/>
        <v>-</v>
      </c>
      <c r="BL26" s="605">
        <f t="shared" si="1"/>
        <v>242.89999999999989</v>
      </c>
      <c r="BM26" s="601" t="str">
        <f ca="1">INDIRECT(ADDRESS(MATCH($B26,'【別紙1】標高（入力）'!$B:$B,0),'【別紙1】標高（入力）'!$N$2,4,TRUE,"【別紙1】標高（入力）"))</f>
        <v>H23</v>
      </c>
      <c r="BN26" s="343">
        <f ca="1">INDIRECT(ADDRESS(MATCH($B26,'【別紙1】標高（入力）'!$B:$B,0),'【別紙1】標高（入力）'!$O$2,4,TRUE,"【別紙1】標高（入力）"))</f>
        <v>5.6390000000000002</v>
      </c>
      <c r="BO26" s="393" t="s">
        <v>533</v>
      </c>
    </row>
    <row r="27" spans="1:67" ht="15.95" customHeight="1">
      <c r="A27" s="119">
        <v>212</v>
      </c>
      <c r="B27" s="107" t="s">
        <v>369</v>
      </c>
      <c r="C27" s="114" t="s">
        <v>38</v>
      </c>
      <c r="D27" s="110" t="s">
        <v>1198</v>
      </c>
      <c r="E27" s="109" t="s">
        <v>61</v>
      </c>
      <c r="F27" s="111" t="s">
        <v>9</v>
      </c>
      <c r="G27" s="112" t="s">
        <v>19</v>
      </c>
      <c r="H27" s="112" t="s">
        <v>541</v>
      </c>
      <c r="I27" s="112" t="s">
        <v>539</v>
      </c>
      <c r="J27" s="112" t="s">
        <v>265</v>
      </c>
      <c r="K27" s="222"/>
      <c r="L27" s="124">
        <v>21.7</v>
      </c>
      <c r="M27" s="124">
        <v>28.3</v>
      </c>
      <c r="N27" s="124">
        <v>11.7</v>
      </c>
      <c r="O27" s="124">
        <v>6.5</v>
      </c>
      <c r="P27" s="124">
        <v>12.8</v>
      </c>
      <c r="Q27" s="124">
        <v>9.6999999999999993</v>
      </c>
      <c r="R27" s="124">
        <v>7.7</v>
      </c>
      <c r="S27" s="124">
        <v>-5.6</v>
      </c>
      <c r="T27" s="124">
        <v>6.4</v>
      </c>
      <c r="U27" s="124">
        <v>7.7</v>
      </c>
      <c r="V27" s="124">
        <v>16.7</v>
      </c>
      <c r="W27" s="124">
        <v>6.2</v>
      </c>
      <c r="X27" s="124">
        <v>4.5999999999999996</v>
      </c>
      <c r="Y27" s="124">
        <v>1.1000000000000001</v>
      </c>
      <c r="Z27" s="124">
        <v>6.3</v>
      </c>
      <c r="AA27" s="124">
        <v>15</v>
      </c>
      <c r="AB27" s="124">
        <v>0.6</v>
      </c>
      <c r="AC27" s="124">
        <v>11.2</v>
      </c>
      <c r="AD27" s="124">
        <v>0.2</v>
      </c>
      <c r="AE27" s="124">
        <v>0.9</v>
      </c>
      <c r="AF27" s="124">
        <v>6.7</v>
      </c>
      <c r="AG27" s="124">
        <v>5.4</v>
      </c>
      <c r="AH27" s="123">
        <v>9</v>
      </c>
      <c r="AI27" s="126">
        <v>11.6</v>
      </c>
      <c r="AJ27" s="128">
        <v>-4.5</v>
      </c>
      <c r="AK27" s="128">
        <v>4.0999999999999996</v>
      </c>
      <c r="AL27" s="123">
        <v>1.7</v>
      </c>
      <c r="AM27" s="124">
        <v>4.5999999999999401</v>
      </c>
      <c r="AN27" s="124">
        <v>-1.2</v>
      </c>
      <c r="AO27" s="123">
        <v>5.2</v>
      </c>
      <c r="AP27" s="126">
        <v>8.1999999999999993</v>
      </c>
      <c r="AQ27" s="122">
        <v>2.2999999999999998</v>
      </c>
      <c r="AR27" s="125">
        <v>6.6</v>
      </c>
      <c r="AS27" s="125">
        <v>1.3</v>
      </c>
      <c r="AT27" s="139" t="s">
        <v>652</v>
      </c>
      <c r="AU27" s="122"/>
      <c r="AV27" s="122"/>
      <c r="AW27" s="122">
        <v>2.7</v>
      </c>
      <c r="AX27" s="139" t="s">
        <v>525</v>
      </c>
      <c r="AY27" s="122"/>
      <c r="AZ27" s="121">
        <v>3.2</v>
      </c>
      <c r="BA27" s="458" t="s">
        <v>1069</v>
      </c>
      <c r="BB27" s="121">
        <v>-1.9</v>
      </c>
      <c r="BC27" s="139" t="s">
        <v>1068</v>
      </c>
      <c r="BD27" s="122" t="str">
        <f ca="1">INDIRECT(ADDRESS(MATCH($B27,'【別紙1】標高（入力）'!$B:$B,0),'【別紙1】標高（入力）'!AD$2,4,TRUE,"【別紙1】標高（入力）"))</f>
        <v/>
      </c>
      <c r="BE27" s="121">
        <f ca="1">INDIRECT(ADDRESS(MATCH($B27,'【別紙1】標高（入力）'!$B:$B,0),'【別紙1】標高（入力）'!AE$2,4,TRUE,"【別紙1】標高（入力）"))</f>
        <v>2.8000000000005798</v>
      </c>
      <c r="BF27" s="139" t="s">
        <v>1333</v>
      </c>
      <c r="BG27" s="121">
        <f ca="1">INDIRECT(ADDRESS(MATCH($B27,'【別紙1】標高（入力）'!$B:$B,0),'【別紙1】標高（入力）'!AG$2,4,TRUE,"【別紙1】標高（入力）"))</f>
        <v>3.0000000000001137</v>
      </c>
      <c r="BH27" s="126">
        <f ca="1">INDIRECT(ADDRESS(MATCH($B27,'【別紙1】標高（入力）'!$B:$B,0),'【別紙1】標高（入力）'!AH$2,4,TRUE,"【別紙1】標高（入力）"))</f>
        <v>1.5999999999998238</v>
      </c>
      <c r="BI27" s="122"/>
      <c r="BJ27" s="624" t="str">
        <f ca="1">INDIRECT(ADDRESS(MATCH($B27,'【別紙1】標高（入力）'!$B:$B,0),'【別紙1】標高（入力）'!AJ$2,4,TRUE,"【別紙1】標高（入力）"))</f>
        <v/>
      </c>
      <c r="BK27" s="598" t="str">
        <f t="shared" ref="BK27:BK31" ca="1" si="6">IF(AND(ISNUMBER(BI27)*1,ISNUMBER(BH27)*1),BI27,"-")</f>
        <v>-</v>
      </c>
      <c r="BL27" s="604">
        <f t="shared" ref="BL27:BL31" ca="1" si="7">SUM(K27:BI27)</f>
        <v>242.10000000000039</v>
      </c>
      <c r="BM27" s="600" t="str">
        <f ca="1">INDIRECT(ADDRESS(MATCH($B27,'【別紙1】標高（入力）'!$B:$B,0),'【別紙1】標高（入力）'!$N$2,4,TRUE,"【別紙1】標高（入力）"))</f>
        <v>R4</v>
      </c>
      <c r="BN27" s="342">
        <f ca="1">INDIRECT(ADDRESS(MATCH($B27,'【別紙1】標高（入力）'!$B:$B,0),'【別紙1】標高（入力）'!$O$2,4,TRUE,"【別紙1】標高（入力）"))</f>
        <v>5.4462999999999999</v>
      </c>
      <c r="BO27" s="392"/>
    </row>
    <row r="28" spans="1:67" ht="15.95" customHeight="1">
      <c r="A28" s="119">
        <v>213</v>
      </c>
      <c r="B28" s="107" t="s">
        <v>370</v>
      </c>
      <c r="C28" s="114" t="s">
        <v>38</v>
      </c>
      <c r="D28" s="110" t="s">
        <v>62</v>
      </c>
      <c r="E28" s="109" t="s">
        <v>63</v>
      </c>
      <c r="F28" s="111" t="s">
        <v>9</v>
      </c>
      <c r="G28" s="112" t="s">
        <v>19</v>
      </c>
      <c r="H28" s="112" t="s">
        <v>541</v>
      </c>
      <c r="I28" s="112" t="s">
        <v>539</v>
      </c>
      <c r="J28" s="112" t="s">
        <v>265</v>
      </c>
      <c r="K28" s="222"/>
      <c r="L28" s="124">
        <v>13.6</v>
      </c>
      <c r="M28" s="124">
        <v>59.1</v>
      </c>
      <c r="N28" s="124">
        <v>0.2</v>
      </c>
      <c r="O28" s="124">
        <v>2.7</v>
      </c>
      <c r="P28" s="124">
        <v>16.899999999999999</v>
      </c>
      <c r="Q28" s="124">
        <v>7.4</v>
      </c>
      <c r="R28" s="124">
        <v>8.6999999999999993</v>
      </c>
      <c r="S28" s="124">
        <v>8.9</v>
      </c>
      <c r="T28" s="124">
        <v>15.1</v>
      </c>
      <c r="U28" s="124">
        <v>8</v>
      </c>
      <c r="V28" s="124">
        <v>21</v>
      </c>
      <c r="W28" s="124">
        <v>10.3</v>
      </c>
      <c r="X28" s="124">
        <v>1.9</v>
      </c>
      <c r="Y28" s="136" t="s">
        <v>652</v>
      </c>
      <c r="Z28" s="122"/>
      <c r="AA28" s="122"/>
      <c r="AB28" s="127">
        <v>8.3000000000000007</v>
      </c>
      <c r="AC28" s="124">
        <v>9.1</v>
      </c>
      <c r="AD28" s="124">
        <v>-2.8</v>
      </c>
      <c r="AE28" s="124">
        <v>0.7</v>
      </c>
      <c r="AF28" s="124">
        <v>3.6</v>
      </c>
      <c r="AG28" s="123"/>
      <c r="AH28" s="411" t="s">
        <v>47</v>
      </c>
      <c r="AI28" s="121">
        <v>10.199999999999999</v>
      </c>
      <c r="AJ28" s="128">
        <v>-3.4</v>
      </c>
      <c r="AK28" s="128">
        <v>3.7</v>
      </c>
      <c r="AL28" s="123">
        <v>0.5</v>
      </c>
      <c r="AM28" s="136" t="s">
        <v>637</v>
      </c>
      <c r="AN28" s="121">
        <v>-1</v>
      </c>
      <c r="AO28" s="139" t="s">
        <v>1068</v>
      </c>
      <c r="AP28" s="122"/>
      <c r="AQ28" s="122">
        <v>12.5</v>
      </c>
      <c r="AR28" s="139" t="s">
        <v>1072</v>
      </c>
      <c r="AS28" s="122"/>
      <c r="AT28" s="122"/>
      <c r="AU28" s="122"/>
      <c r="AV28" s="122"/>
      <c r="AW28" s="122">
        <v>3.1</v>
      </c>
      <c r="AX28" s="139" t="s">
        <v>525</v>
      </c>
      <c r="AY28" s="122"/>
      <c r="AZ28" s="121">
        <v>-1.6</v>
      </c>
      <c r="BA28" s="458" t="s">
        <v>1070</v>
      </c>
      <c r="BB28" s="122"/>
      <c r="BC28" s="122"/>
      <c r="BD28" s="122" t="str">
        <f ca="1">INDIRECT(ADDRESS(MATCH($B28,'【別紙1】標高（入力）'!$B:$B,0),'【別紙1】標高（入力）'!AD$2,4,TRUE,"【別紙1】標高（入力）"))</f>
        <v/>
      </c>
      <c r="BE28" s="121">
        <f ca="1">INDIRECT(ADDRESS(MATCH($B28,'【別紙1】標高（入力）'!$B:$B,0),'【別紙1】標高（入力）'!AE$2,4,TRUE,"【別紙1】標高（入力）"))</f>
        <v>57.199999999999918</v>
      </c>
      <c r="BF28" s="135" t="s">
        <v>1381</v>
      </c>
      <c r="BG28" s="122" t="str">
        <f ca="1">INDIRECT(ADDRESS(MATCH($B28,'【別紙1】標高（入力）'!$B:$B,0),'【別紙1】標高（入力）'!AG$2,4,TRUE,"【別紙1】標高（入力）"))</f>
        <v/>
      </c>
      <c r="BH28" s="121">
        <f ca="1">INDIRECT(ADDRESS(MATCH($B28,'【別紙1】標高（入力）'!$B:$B,0),'【別紙1】標高（入力）'!AH$2,4,TRUE,"【別紙1】標高（入力）"))</f>
        <v>2.2999999999999687</v>
      </c>
      <c r="BI28" s="122"/>
      <c r="BJ28" s="624" t="str">
        <f ca="1">INDIRECT(ADDRESS(MATCH($B28,'【別紙1】標高（入力）'!$B:$B,0),'【別紙1】標高（入力）'!AJ$2,4,TRUE,"【別紙1】標高（入力）"))</f>
        <v/>
      </c>
      <c r="BK28" s="598" t="str">
        <f t="shared" ca="1" si="6"/>
        <v>-</v>
      </c>
      <c r="BL28" s="604">
        <f t="shared" ca="1" si="7"/>
        <v>276.19999999999987</v>
      </c>
      <c r="BM28" s="600" t="str">
        <f ca="1">INDIRECT(ADDRESS(MATCH($B28,'【別紙1】標高（入力）'!$B:$B,0),'【別紙1】標高（入力）'!$N$2,4,TRUE,"【別紙1】標高（入力）"))</f>
        <v>R4</v>
      </c>
      <c r="BN28" s="340">
        <f ca="1">INDIRECT(ADDRESS(MATCH($B28,'【別紙1】標高（入力）'!$B:$B,0),'【別紙1】標高（入力）'!$O$2,4,TRUE,"【別紙1】標高（入力）"))</f>
        <v>4.7294999999999998</v>
      </c>
      <c r="BO28" s="392"/>
    </row>
    <row r="29" spans="1:67" ht="15.95" customHeight="1">
      <c r="A29" s="119">
        <v>214</v>
      </c>
      <c r="B29" s="107" t="s">
        <v>368</v>
      </c>
      <c r="C29" s="114" t="s">
        <v>38</v>
      </c>
      <c r="D29" s="110" t="s">
        <v>680</v>
      </c>
      <c r="E29" s="109" t="s">
        <v>1406</v>
      </c>
      <c r="F29" s="111" t="s">
        <v>9</v>
      </c>
      <c r="G29" s="112" t="s">
        <v>255</v>
      </c>
      <c r="H29" s="112" t="s">
        <v>542</v>
      </c>
      <c r="I29" s="112" t="s">
        <v>539</v>
      </c>
      <c r="J29" s="112" t="s">
        <v>265</v>
      </c>
      <c r="K29" s="224"/>
      <c r="L29" s="228"/>
      <c r="M29" s="221"/>
      <c r="N29" s="124">
        <v>5.3</v>
      </c>
      <c r="O29" s="136" t="s">
        <v>636</v>
      </c>
      <c r="P29" s="127">
        <v>13.9</v>
      </c>
      <c r="Q29" s="124">
        <v>3.6</v>
      </c>
      <c r="R29" s="124">
        <v>1.3</v>
      </c>
      <c r="S29" s="124">
        <v>-5.8</v>
      </c>
      <c r="T29" s="124">
        <v>6.3</v>
      </c>
      <c r="U29" s="136" t="s">
        <v>636</v>
      </c>
      <c r="V29" s="127">
        <v>11.1</v>
      </c>
      <c r="W29" s="224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9"/>
      <c r="AI29" s="138" t="s">
        <v>260</v>
      </c>
      <c r="AJ29" s="228"/>
      <c r="AK29" s="228"/>
      <c r="AL29" s="228"/>
      <c r="AM29" s="228"/>
      <c r="AN29" s="138" t="s">
        <v>256</v>
      </c>
      <c r="AO29" s="122">
        <v>4.5999999999999996</v>
      </c>
      <c r="AP29" s="139" t="s">
        <v>636</v>
      </c>
      <c r="AQ29" s="122">
        <v>9.1999999999999993</v>
      </c>
      <c r="AR29" s="139" t="s">
        <v>1072</v>
      </c>
      <c r="AS29" s="122"/>
      <c r="AT29" s="122"/>
      <c r="AU29" s="122"/>
      <c r="AV29" s="122"/>
      <c r="AW29" s="122">
        <v>10.7</v>
      </c>
      <c r="AX29" s="125">
        <v>8.4</v>
      </c>
      <c r="AY29" s="139" t="s">
        <v>1071</v>
      </c>
      <c r="AZ29" s="122"/>
      <c r="BA29" s="460"/>
      <c r="BB29" s="121">
        <v>-7.6</v>
      </c>
      <c r="BC29" s="122">
        <v>-1</v>
      </c>
      <c r="BD29" s="139" t="s">
        <v>1337</v>
      </c>
      <c r="BE29" s="122" t="str">
        <f ca="1">INDIRECT(ADDRESS(MATCH($B29,'【別紙1】標高（入力）'!$B:$B,0),'【別紙1】標高（入力）'!AE$2,4,TRUE,"【別紙1】標高（入力）"))</f>
        <v/>
      </c>
      <c r="BF29" s="122" t="str">
        <f ca="1">INDIRECT(ADDRESS(MATCH($B29,'【別紙1】標高（入力）'!$B:$B,0),'【別紙1】標高（入力）'!AF$2,4,TRUE,"【別紙1】標高（入力）"))</f>
        <v/>
      </c>
      <c r="BG29" s="121">
        <f ca="1">INDIRECT(ADDRESS(MATCH($B29,'【別紙1】標高（入力）'!$B:$B,0),'【別紙1】標高（入力）'!AG$2,4,TRUE,"【別紙1】標高（入力）"))</f>
        <v>-9.3999999999994088</v>
      </c>
      <c r="BH29" s="139" t="s">
        <v>1550</v>
      </c>
      <c r="BI29" s="122">
        <f ca="1">INDIRECT(ADDRESS(MATCH($B29,'【別紙1】標高（入力）'!$B:$B,0),'【別紙1】標高（入力）'!AI$2,4,TRUE,"【別紙1】標高（入力）"))</f>
        <v>0.49999999999972289</v>
      </c>
      <c r="BJ29" s="659" t="str">
        <f ca="1">INDIRECT(ADDRESS(MATCH($B29,'【別紙1】標高（入力）'!$B:$B,0),'【別紙1】標高（入力）'!AJ$2,4,TRUE,"【別紙1】標高（入力）"))</f>
        <v/>
      </c>
      <c r="BK29" s="598" t="str">
        <f t="shared" ca="1" si="6"/>
        <v>-</v>
      </c>
      <c r="BL29" s="604">
        <f t="shared" ca="1" si="7"/>
        <v>51.100000000000321</v>
      </c>
      <c r="BM29" s="600" t="str">
        <f ca="1">INDIRECT(ADDRESS(MATCH($B29,'【別紙1】標高（入力）'!$B:$B,0),'【別紙1】標高（入力）'!$N$2,4,TRUE,"【別紙1】標高（入力）"))</f>
        <v>R5</v>
      </c>
      <c r="BN29" s="340">
        <f ca="1">INDIRECT(ADDRESS(MATCH($B29,'【別紙1】標高（入力）'!$B:$B,0),'【別紙1】標高（入力）'!$O$2,4,TRUE,"【別紙1】標高（入力）"))</f>
        <v>4.8742000000000001</v>
      </c>
      <c r="BO29" s="392"/>
    </row>
    <row r="30" spans="1:67" ht="15.95" customHeight="1">
      <c r="A30" s="119">
        <v>215</v>
      </c>
      <c r="B30" s="107" t="s">
        <v>400</v>
      </c>
      <c r="C30" s="114" t="s">
        <v>38</v>
      </c>
      <c r="D30" s="110" t="s">
        <v>653</v>
      </c>
      <c r="E30" s="597" t="s">
        <v>1407</v>
      </c>
      <c r="F30" s="111" t="s">
        <v>9</v>
      </c>
      <c r="G30" s="112" t="s">
        <v>19</v>
      </c>
      <c r="H30" s="112" t="s">
        <v>541</v>
      </c>
      <c r="I30" s="112" t="s">
        <v>54</v>
      </c>
      <c r="J30" s="112" t="s">
        <v>265</v>
      </c>
      <c r="K30" s="222"/>
      <c r="L30" s="124">
        <v>45.3</v>
      </c>
      <c r="M30" s="124">
        <v>33.4</v>
      </c>
      <c r="N30" s="124">
        <v>30.2</v>
      </c>
      <c r="O30" s="136" t="s">
        <v>636</v>
      </c>
      <c r="P30" s="127">
        <v>46.1</v>
      </c>
      <c r="Q30" s="124">
        <v>19.8</v>
      </c>
      <c r="R30" s="124">
        <v>18.8</v>
      </c>
      <c r="S30" s="124">
        <v>-2.2000000000000002</v>
      </c>
      <c r="T30" s="124">
        <v>12.5</v>
      </c>
      <c r="U30" s="124">
        <v>4</v>
      </c>
      <c r="V30" s="124">
        <v>16</v>
      </c>
      <c r="W30" s="124">
        <v>19.100000000000001</v>
      </c>
      <c r="X30" s="124">
        <v>9.1999999999999993</v>
      </c>
      <c r="Y30" s="136" t="s">
        <v>652</v>
      </c>
      <c r="Z30" s="122"/>
      <c r="AA30" s="122"/>
      <c r="AB30" s="127">
        <v>11.5</v>
      </c>
      <c r="AC30" s="136" t="s">
        <v>1273</v>
      </c>
      <c r="AD30" s="122"/>
      <c r="AE30" s="127">
        <v>15.5</v>
      </c>
      <c r="AF30" s="136" t="s">
        <v>1273</v>
      </c>
      <c r="AG30" s="122"/>
      <c r="AH30" s="122">
        <v>18.5</v>
      </c>
      <c r="AI30" s="139" t="s">
        <v>525</v>
      </c>
      <c r="AJ30" s="122"/>
      <c r="AK30" s="127">
        <v>11.8</v>
      </c>
      <c r="AL30" s="135" t="s">
        <v>525</v>
      </c>
      <c r="AM30" s="122"/>
      <c r="AN30" s="122">
        <v>3.3</v>
      </c>
      <c r="AO30" s="126">
        <v>8.1</v>
      </c>
      <c r="AP30" s="139" t="s">
        <v>636</v>
      </c>
      <c r="AQ30" s="122">
        <v>6.1</v>
      </c>
      <c r="AR30" s="125">
        <v>1</v>
      </c>
      <c r="AS30" s="139" t="s">
        <v>1070</v>
      </c>
      <c r="AT30" s="122"/>
      <c r="AU30" s="122"/>
      <c r="AV30" s="122"/>
      <c r="AW30" s="122">
        <v>5.5</v>
      </c>
      <c r="AX30" s="125">
        <v>7.3</v>
      </c>
      <c r="AY30" s="139" t="s">
        <v>1069</v>
      </c>
      <c r="AZ30" s="121">
        <v>-11</v>
      </c>
      <c r="BA30" s="463" t="s">
        <v>1068</v>
      </c>
      <c r="BB30" s="122"/>
      <c r="BC30" s="122">
        <v>-2.4</v>
      </c>
      <c r="BD30" s="139" t="s">
        <v>1069</v>
      </c>
      <c r="BE30" s="121">
        <f ca="1">INDIRECT(ADDRESS(MATCH($B30,'【別紙1】標高（入力）'!$B:$B,0),'【別紙1】標高（入力）'!AE$2,4,TRUE,"【別紙1】標高（入力）"))</f>
        <v>0.70000000000014495</v>
      </c>
      <c r="BF30" s="135" t="s">
        <v>1273</v>
      </c>
      <c r="BG30" s="122" t="str">
        <f ca="1">INDIRECT(ADDRESS(MATCH($B30,'【別紙1】標高（入力）'!$B:$B,0),'【別紙1】標高（入力）'!AG$2,4,TRUE,"【別紙1】標高（入力）"))</f>
        <v/>
      </c>
      <c r="BH30" s="121">
        <f ca="1">INDIRECT(ADDRESS(MATCH($B30,'【別紙1】標高（入力）'!$B:$B,0),'【別紙1】標高（入力）'!AH$2,4,TRUE,"【別紙1】標高（入力）"))</f>
        <v>2.9999999999996696</v>
      </c>
      <c r="BI30" s="122"/>
      <c r="BJ30" s="624" t="str">
        <f ca="1">INDIRECT(ADDRESS(MATCH($B30,'【別紙1】標高（入力）'!$B:$B,0),'【別紙1】標高（入力）'!AJ$2,4,TRUE,"【別紙1】標高（入力）"))</f>
        <v/>
      </c>
      <c r="BK30" s="598" t="str">
        <f t="shared" ca="1" si="6"/>
        <v>-</v>
      </c>
      <c r="BL30" s="604">
        <f t="shared" ca="1" si="7"/>
        <v>331.09999999999997</v>
      </c>
      <c r="BM30" s="602" t="str">
        <f ca="1">INDIRECT(ADDRESS(MATCH($B30,'【別紙1】標高（入力）'!$B:$B,0),'【別紙1】標高（入力）'!$N$2,4,TRUE,"【別紙1】標高（入力）"))</f>
        <v>R4</v>
      </c>
      <c r="BN30" s="342">
        <f ca="1">INDIRECT(ADDRESS(MATCH($B30,'【別紙1】標高（入力）'!$B:$B,0),'【別紙1】標高（入力）'!$O$2,4,TRUE,"【別紙1】標高（入力）"))</f>
        <v>3.3919000000000001</v>
      </c>
      <c r="BO30" s="392"/>
    </row>
    <row r="31" spans="1:67" ht="14.25" customHeight="1">
      <c r="A31" s="119">
        <v>216</v>
      </c>
      <c r="B31" s="107" t="s">
        <v>397</v>
      </c>
      <c r="C31" s="114" t="s">
        <v>38</v>
      </c>
      <c r="D31" s="110" t="s">
        <v>699</v>
      </c>
      <c r="E31" s="109" t="s">
        <v>68</v>
      </c>
      <c r="F31" s="111" t="s">
        <v>9</v>
      </c>
      <c r="G31" s="112" t="s">
        <v>19</v>
      </c>
      <c r="H31" s="112" t="s">
        <v>541</v>
      </c>
      <c r="I31" s="112" t="s">
        <v>539</v>
      </c>
      <c r="J31" s="112" t="s">
        <v>265</v>
      </c>
      <c r="K31" s="222"/>
      <c r="L31" s="124">
        <v>13.9</v>
      </c>
      <c r="M31" s="124">
        <v>0.6</v>
      </c>
      <c r="N31" s="124">
        <v>2.1</v>
      </c>
      <c r="O31" s="124">
        <v>3.9</v>
      </c>
      <c r="P31" s="124">
        <v>8.6999999999999993</v>
      </c>
      <c r="Q31" s="124">
        <v>3.4</v>
      </c>
      <c r="R31" s="124">
        <v>3.6</v>
      </c>
      <c r="S31" s="124">
        <v>-7.5</v>
      </c>
      <c r="T31" s="124">
        <v>4.7</v>
      </c>
      <c r="U31" s="124">
        <v>1.9</v>
      </c>
      <c r="V31" s="124">
        <v>8.4</v>
      </c>
      <c r="W31" s="124">
        <v>3.3</v>
      </c>
      <c r="X31" s="124">
        <v>1.4</v>
      </c>
      <c r="Y31" s="136" t="s">
        <v>652</v>
      </c>
      <c r="Z31" s="122"/>
      <c r="AA31" s="122"/>
      <c r="AB31" s="127">
        <v>18.600000000000001</v>
      </c>
      <c r="AC31" s="124">
        <v>10</v>
      </c>
      <c r="AD31" s="124">
        <v>-0.4</v>
      </c>
      <c r="AE31" s="124">
        <v>0.7</v>
      </c>
      <c r="AF31" s="124">
        <v>8.5</v>
      </c>
      <c r="AG31" s="124"/>
      <c r="AH31" s="123">
        <v>10</v>
      </c>
      <c r="AI31" s="126">
        <v>9.3000000000000007</v>
      </c>
      <c r="AJ31" s="128">
        <v>-1.2</v>
      </c>
      <c r="AK31" s="128">
        <v>5.3</v>
      </c>
      <c r="AL31" s="123">
        <v>1.1000000000000001</v>
      </c>
      <c r="AM31" s="136" t="s">
        <v>637</v>
      </c>
      <c r="AN31" s="122">
        <v>-1.1000000000000001</v>
      </c>
      <c r="AO31" s="139" t="s">
        <v>1068</v>
      </c>
      <c r="AP31" s="122"/>
      <c r="AQ31" s="122">
        <v>15.1</v>
      </c>
      <c r="AR31" s="139" t="s">
        <v>1072</v>
      </c>
      <c r="AS31" s="122"/>
      <c r="AT31" s="122"/>
      <c r="AU31" s="122"/>
      <c r="AV31" s="122"/>
      <c r="AW31" s="122">
        <v>3.5</v>
      </c>
      <c r="AX31" s="125">
        <v>7.7</v>
      </c>
      <c r="AY31" s="225"/>
      <c r="AZ31" s="228"/>
      <c r="BA31" s="462"/>
      <c r="BB31" s="228"/>
      <c r="BC31" s="138" t="s">
        <v>530</v>
      </c>
      <c r="BD31" s="122" t="str">
        <f ca="1">INDIRECT(ADDRESS(MATCH($B31,'【別紙1】標高（入力）'!$B:$B,0),'【別紙1】標高（入力）'!AD$2,4,TRUE,"【別紙1】標高（入力）"))</f>
        <v/>
      </c>
      <c r="BE31" s="122" t="str">
        <f ca="1">INDIRECT(ADDRESS(MATCH($B31,'【別紙1】標高（入力）'!$B:$B,0),'【別紙1】標高（入力）'!AE$2,4,TRUE,"【別紙1】標高（入力）"))</f>
        <v/>
      </c>
      <c r="BF31" s="122" t="str">
        <f ca="1">INDIRECT(ADDRESS(MATCH($B31,'【別紙1】標高（入力）'!$B:$B,0),'【別紙1】標高（入力）'!AF$2,4,TRUE,"【別紙1】標高（入力）"))</f>
        <v/>
      </c>
      <c r="BG31" s="122" t="str">
        <f ca="1">INDIRECT(ADDRESS(MATCH($B31,'【別紙1】標高（入力）'!$B:$B,0),'【別紙1】標高（入力）'!AG$2,4,TRUE,"【別紙1】標高（入力）"))</f>
        <v/>
      </c>
      <c r="BH31" s="122" t="str">
        <f ca="1">INDIRECT(ADDRESS(MATCH($B31,'【別紙1】標高（入力）'!$B:$B,0),'【別紙1】標高（入力）'!AH$2,4,TRUE,"【別紙1】標高（入力）"))</f>
        <v/>
      </c>
      <c r="BI31" s="122"/>
      <c r="BJ31" s="624" t="str">
        <f ca="1">INDIRECT(ADDRESS(MATCH($B31,'【別紙1】標高（入力）'!$B:$B,0),'【別紙1】標高（入力）'!AJ$2,4,TRUE,"【別紙1】標高（入力）"))</f>
        <v/>
      </c>
      <c r="BK31" s="598" t="str">
        <f t="shared" ca="1" si="6"/>
        <v>-</v>
      </c>
      <c r="BL31" s="604">
        <f t="shared" ca="1" si="7"/>
        <v>135.49999999999997</v>
      </c>
      <c r="BM31" s="600" t="s">
        <v>537</v>
      </c>
      <c r="BN31" s="340">
        <v>3.9039000000000001</v>
      </c>
      <c r="BO31" s="392"/>
    </row>
    <row r="32" spans="1:67" s="231" customFormat="1" ht="14.25" customHeight="1">
      <c r="A32" s="214">
        <v>217</v>
      </c>
      <c r="B32" s="215" t="s">
        <v>398</v>
      </c>
      <c r="C32" s="216" t="s">
        <v>38</v>
      </c>
      <c r="D32" s="217" t="s">
        <v>326</v>
      </c>
      <c r="E32" s="218" t="s">
        <v>299</v>
      </c>
      <c r="F32" s="219" t="s">
        <v>9</v>
      </c>
      <c r="G32" s="220" t="s">
        <v>10</v>
      </c>
      <c r="H32" s="220" t="s">
        <v>64</v>
      </c>
      <c r="I32" s="220" t="s">
        <v>54</v>
      </c>
      <c r="J32" s="220" t="s">
        <v>265</v>
      </c>
      <c r="K32" s="224"/>
      <c r="L32" s="228"/>
      <c r="M32" s="221"/>
      <c r="N32" s="124">
        <v>3.4</v>
      </c>
      <c r="O32" s="136" t="s">
        <v>636</v>
      </c>
      <c r="P32" s="127">
        <v>14.7</v>
      </c>
      <c r="Q32" s="124">
        <v>5.4</v>
      </c>
      <c r="R32" s="124">
        <v>2.8</v>
      </c>
      <c r="S32" s="124">
        <v>-6.3</v>
      </c>
      <c r="T32" s="124">
        <v>5.0999999999999996</v>
      </c>
      <c r="U32" s="136" t="s">
        <v>636</v>
      </c>
      <c r="V32" s="127">
        <v>7.8</v>
      </c>
      <c r="W32" s="224"/>
      <c r="X32" s="228"/>
      <c r="Y32" s="228"/>
      <c r="Z32" s="228"/>
      <c r="AA32" s="228"/>
      <c r="AB32" s="228"/>
      <c r="AC32" s="228"/>
      <c r="AD32" s="228"/>
      <c r="AE32" s="228"/>
      <c r="AF32" s="411" t="s">
        <v>1271</v>
      </c>
      <c r="AG32" s="228"/>
      <c r="AH32" s="228"/>
      <c r="AI32" s="228" t="s">
        <v>247</v>
      </c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462"/>
      <c r="BB32" s="228"/>
      <c r="BC32" s="228"/>
      <c r="BD32" s="228"/>
      <c r="BE32" s="228"/>
      <c r="BF32" s="228"/>
      <c r="BG32" s="228"/>
      <c r="BH32" s="625"/>
      <c r="BI32" s="228"/>
      <c r="BJ32" s="570" t="str">
        <f ca="1">INDIRECT(ADDRESS(MATCH($B32,'【別紙1】標高（入力）'!$B:$B,0),'【別紙1】標高（入力）'!AJ$2,4,TRUE,"【別紙1】標高（入力）"))</f>
        <v/>
      </c>
      <c r="BK32" s="599" t="str">
        <f t="shared" si="0"/>
        <v>-</v>
      </c>
      <c r="BL32" s="605">
        <f t="shared" si="1"/>
        <v>32.9</v>
      </c>
      <c r="BM32" s="603" t="s">
        <v>529</v>
      </c>
      <c r="BN32" s="344" t="s">
        <v>529</v>
      </c>
      <c r="BO32" s="393" t="s">
        <v>20</v>
      </c>
    </row>
    <row r="33" spans="1:67" ht="14.25" customHeight="1">
      <c r="A33" s="119">
        <v>218</v>
      </c>
      <c r="B33" s="107" t="s">
        <v>396</v>
      </c>
      <c r="C33" s="114" t="s">
        <v>38</v>
      </c>
      <c r="D33" s="596" t="s">
        <v>1394</v>
      </c>
      <c r="E33" s="109" t="s">
        <v>69</v>
      </c>
      <c r="F33" s="111" t="s">
        <v>70</v>
      </c>
      <c r="G33" s="112" t="s">
        <v>19</v>
      </c>
      <c r="H33" s="112" t="s">
        <v>64</v>
      </c>
      <c r="I33" s="112" t="s">
        <v>539</v>
      </c>
      <c r="J33" s="112" t="s">
        <v>265</v>
      </c>
      <c r="K33" s="222"/>
      <c r="L33" s="136" t="s">
        <v>636</v>
      </c>
      <c r="M33" s="127">
        <v>25.9</v>
      </c>
      <c r="N33" s="124">
        <v>4.9000000000000004</v>
      </c>
      <c r="O33" s="136" t="s">
        <v>636</v>
      </c>
      <c r="P33" s="127">
        <v>21.9</v>
      </c>
      <c r="Q33" s="124">
        <v>4.8</v>
      </c>
      <c r="R33" s="124">
        <v>8.6999999999999993</v>
      </c>
      <c r="S33" s="124">
        <v>-2.1</v>
      </c>
      <c r="T33" s="124">
        <v>13.3</v>
      </c>
      <c r="U33" s="124">
        <v>7</v>
      </c>
      <c r="V33" s="124">
        <v>11.3</v>
      </c>
      <c r="W33" s="136" t="s">
        <v>679</v>
      </c>
      <c r="X33" s="122"/>
      <c r="Y33" s="122"/>
      <c r="Z33" s="122"/>
      <c r="AA33" s="122"/>
      <c r="AB33" s="127">
        <v>23.8</v>
      </c>
      <c r="AC33" s="124">
        <v>9.6999999999999993</v>
      </c>
      <c r="AD33" s="124">
        <v>-0.3</v>
      </c>
      <c r="AE33" s="124">
        <v>2</v>
      </c>
      <c r="AF33" s="124"/>
      <c r="AG33" s="124"/>
      <c r="AH33" s="123">
        <v>8.3000000000000007</v>
      </c>
      <c r="AI33" s="126">
        <v>14.9</v>
      </c>
      <c r="AJ33" s="128">
        <v>1.7</v>
      </c>
      <c r="AK33" s="128">
        <v>10.6</v>
      </c>
      <c r="AL33" s="123">
        <v>3.6</v>
      </c>
      <c r="AM33" s="136" t="s">
        <v>637</v>
      </c>
      <c r="AN33" s="122">
        <v>-226</v>
      </c>
      <c r="AO33" s="139" t="s">
        <v>1068</v>
      </c>
      <c r="AP33" s="122"/>
      <c r="AQ33" s="122">
        <v>41.1</v>
      </c>
      <c r="AR33" s="139" t="s">
        <v>1072</v>
      </c>
      <c r="AS33" s="122"/>
      <c r="AT33" s="122"/>
      <c r="AU33" s="122"/>
      <c r="AV33" s="122"/>
      <c r="AW33" s="122">
        <v>6.6</v>
      </c>
      <c r="AX33" s="125">
        <v>8.4</v>
      </c>
      <c r="AY33" s="139" t="s">
        <v>1070</v>
      </c>
      <c r="AZ33" s="122"/>
      <c r="BA33" s="460"/>
      <c r="BB33" s="122"/>
      <c r="BC33" s="122">
        <v>-14.7</v>
      </c>
      <c r="BD33" s="139" t="s">
        <v>1505</v>
      </c>
      <c r="BE33" s="122" t="str">
        <f ca="1">INDIRECT(ADDRESS(MATCH($B33,'【別紙1】標高（入力）'!$B:$B,0),'【別紙1】標高（入力）'!AE$2,4,TRUE,"【別紙1】標高（入力）"))</f>
        <v/>
      </c>
      <c r="BF33" s="122" t="str">
        <f ca="1">INDIRECT(ADDRESS(MATCH($B33,'【別紙1】標高（入力）'!$B:$B,0),'【別紙1】標高（入力）'!AF$2,4,TRUE,"【別紙1】標高（入力）"))</f>
        <v/>
      </c>
      <c r="BG33" s="122" t="str">
        <f ca="1">INDIRECT(ADDRESS(MATCH($B33,'【別紙1】標高（入力）'!$B:$B,0),'【別紙1】標高（入力）'!AG$2,4,TRUE,"【別紙1】標高（入力）"))</f>
        <v/>
      </c>
      <c r="BH33" s="624" t="str">
        <f ca="1">INDIRECT(ADDRESS(MATCH($B33,'【別紙1】標高（入力）'!$B:$B,0),'【別紙1】標高（入力）'!AH$2,4,TRUE,"【別紙1】標高（入力）"))</f>
        <v/>
      </c>
      <c r="BI33" s="122">
        <f ca="1">INDIRECT(ADDRESS(MATCH($B33,'【別紙1】標高（入力）'!$B:$B,0),'【別紙1】標高（入力）'!AI$2,4,TRUE,"【別紙1】標高（入力）"))</f>
        <v>8.299999999999752</v>
      </c>
      <c r="BJ33" s="659" t="str">
        <f ca="1">INDIRECT(ADDRESS(MATCH($B33,'【別紙1】標高（入力）'!$B:$B,0),'【別紙1】標高（入力）'!AJ$2,4,TRUE,"【別紙1】標高（入力）"))</f>
        <v/>
      </c>
      <c r="BK33" s="598" t="str">
        <f t="shared" ca="1" si="0"/>
        <v>-</v>
      </c>
      <c r="BL33" s="604">
        <f t="shared" ca="1" si="1"/>
        <v>-14.600000000000026</v>
      </c>
      <c r="BM33" s="600" t="str">
        <f ca="1">INDIRECT(ADDRESS(MATCH($B33,'【別紙1】標高（入力）'!$B:$B,0),'【別紙1】標高（入力）'!$N$2,4,TRUE,"【別紙1】標高（入力）"))</f>
        <v>R5</v>
      </c>
      <c r="BN33" s="340">
        <f ca="1">INDIRECT(ADDRESS(MATCH($B33,'【別紙1】標高（入力）'!$B:$B,0),'【別紙1】標高（入力）'!$O$2,4,TRUE,"【別紙1】標高（入力）"))</f>
        <v>2.9409000000000001</v>
      </c>
      <c r="BO33" s="392" t="s">
        <v>731</v>
      </c>
    </row>
    <row r="34" spans="1:67" ht="14.25" customHeight="1">
      <c r="A34" s="119">
        <v>219</v>
      </c>
      <c r="B34" s="591">
        <v>8415</v>
      </c>
      <c r="C34" s="114" t="s">
        <v>38</v>
      </c>
      <c r="D34" s="110" t="s">
        <v>709</v>
      </c>
      <c r="E34" s="597" t="s">
        <v>1408</v>
      </c>
      <c r="F34" s="111" t="s">
        <v>12</v>
      </c>
      <c r="G34" s="112" t="s">
        <v>73</v>
      </c>
      <c r="H34" s="112" t="s">
        <v>541</v>
      </c>
      <c r="I34" s="112" t="s">
        <v>539</v>
      </c>
      <c r="J34" s="112" t="s">
        <v>265</v>
      </c>
      <c r="K34" s="224"/>
      <c r="L34" s="228"/>
      <c r="M34" s="228"/>
      <c r="N34" s="221"/>
      <c r="O34" s="136" t="s">
        <v>636</v>
      </c>
      <c r="P34" s="122">
        <v>23.6</v>
      </c>
      <c r="Q34" s="415" t="s">
        <v>1270</v>
      </c>
      <c r="R34" s="413" t="s">
        <v>1270</v>
      </c>
      <c r="S34" s="127">
        <v>-2.7</v>
      </c>
      <c r="T34" s="124">
        <v>8.6</v>
      </c>
      <c r="U34" s="124">
        <v>2.9</v>
      </c>
      <c r="V34" s="124">
        <v>18.5</v>
      </c>
      <c r="W34" s="124">
        <v>16.600000000000001</v>
      </c>
      <c r="X34" s="124">
        <v>17.600000000000001</v>
      </c>
      <c r="Y34" s="124">
        <v>2.9</v>
      </c>
      <c r="Z34" s="124">
        <v>-2.1</v>
      </c>
      <c r="AA34" s="124">
        <v>8.1</v>
      </c>
      <c r="AB34" s="124">
        <v>-3.3</v>
      </c>
      <c r="AC34" s="124">
        <v>10.9</v>
      </c>
      <c r="AD34" s="124">
        <v>-1.8</v>
      </c>
      <c r="AE34" s="124">
        <v>-3.4</v>
      </c>
      <c r="AF34" s="124">
        <v>8</v>
      </c>
      <c r="AG34" s="124">
        <v>2.2999999999999998</v>
      </c>
      <c r="AH34" s="123">
        <v>0.3</v>
      </c>
      <c r="AI34" s="126">
        <v>9.5</v>
      </c>
      <c r="AJ34" s="123">
        <v>0.4</v>
      </c>
      <c r="AK34" s="123">
        <v>3.4</v>
      </c>
      <c r="AL34" s="123">
        <v>1.4</v>
      </c>
      <c r="AM34" s="124">
        <v>3.2000000000005402</v>
      </c>
      <c r="AN34" s="123">
        <v>-4.0999999999999996</v>
      </c>
      <c r="AO34" s="125">
        <v>7</v>
      </c>
      <c r="AP34" s="126">
        <v>6.6</v>
      </c>
      <c r="AQ34" s="122">
        <v>-1.9</v>
      </c>
      <c r="AR34" s="125">
        <v>2.4</v>
      </c>
      <c r="AS34" s="125">
        <v>1.7</v>
      </c>
      <c r="AT34" s="139" t="s">
        <v>652</v>
      </c>
      <c r="AU34" s="122"/>
      <c r="AV34" s="122"/>
      <c r="AW34" s="122">
        <v>2.6</v>
      </c>
      <c r="AX34" s="125">
        <v>7.2</v>
      </c>
      <c r="AY34" s="139" t="s">
        <v>1069</v>
      </c>
      <c r="AZ34" s="121">
        <v>-7.4</v>
      </c>
      <c r="BA34" s="463" t="s">
        <v>1068</v>
      </c>
      <c r="BB34" s="122"/>
      <c r="BC34" s="122">
        <v>-1.9</v>
      </c>
      <c r="BD34" s="139" t="s">
        <v>1069</v>
      </c>
      <c r="BE34" s="121">
        <f ca="1">INDIRECT(ADDRESS(MATCH($B34,'【別紙1】標高（入力）'!$B:$B,0),'【別紙1】標高（入力）'!AE$2,4,TRUE,"【別紙1】標高（入力）"))</f>
        <v>1.5000000000000568</v>
      </c>
      <c r="BF34" s="135" t="s">
        <v>1381</v>
      </c>
      <c r="BG34" s="122" t="str">
        <f ca="1">INDIRECT(ADDRESS(MATCH($B34,'【別紙1】標高（入力）'!$B:$B,0),'【別紙1】標高（入力）'!AG$2,4,TRUE,"【別紙1】標高（入力）"))</f>
        <v/>
      </c>
      <c r="BH34" s="121">
        <f ca="1">INDIRECT(ADDRESS(MATCH($B34,'【別紙1】標高（入力）'!$B:$B,0),'【別紙1】標高（入力）'!AH$2,4,TRUE,"【別紙1】標高（入力）"))</f>
        <v>5.6000000000002714</v>
      </c>
      <c r="BI34" s="122"/>
      <c r="BJ34" s="624" t="str">
        <f ca="1">INDIRECT(ADDRESS(MATCH($B34,'【別紙1】標高（入力）'!$B:$B,0),'【別紙1】標高（入力）'!AJ$2,4,TRUE,"【別紙1】標高（入力）"))</f>
        <v/>
      </c>
      <c r="BK34" s="598" t="str">
        <f ca="1">IF(AND(ISNUMBER(BI34)*1,ISNUMBER(BH34)*1),BI34,"-")</f>
        <v>-</v>
      </c>
      <c r="BL34" s="604">
        <f ca="1">SUM(K34:BI34)</f>
        <v>144.20000000000087</v>
      </c>
      <c r="BM34" s="600" t="str">
        <f ca="1">INDIRECT(ADDRESS(MATCH($B34,'【別紙1】標高（入力）'!$B:$B,0),'【別紙1】標高（入力）'!$N$2,4,TRUE,"【別紙1】標高（入力）"))</f>
        <v>R4</v>
      </c>
      <c r="BN34" s="342">
        <f ca="1">INDIRECT(ADDRESS(MATCH($B34,'【別紙1】標高（入力）'!$B:$B,0),'【別紙1】標高（入力）'!$O$2,4,TRUE,"【別紙1】標高（入力）"))</f>
        <v>7.2664</v>
      </c>
      <c r="BO34" s="392"/>
    </row>
    <row r="35" spans="1:67" ht="15.95" customHeight="1">
      <c r="A35" s="119">
        <v>220</v>
      </c>
      <c r="B35" s="591">
        <v>8416</v>
      </c>
      <c r="C35" s="114" t="s">
        <v>38</v>
      </c>
      <c r="D35" s="110" t="s">
        <v>667</v>
      </c>
      <c r="E35" s="597" t="s">
        <v>1409</v>
      </c>
      <c r="F35" s="111" t="s">
        <v>12</v>
      </c>
      <c r="G35" s="112" t="s">
        <v>19</v>
      </c>
      <c r="H35" s="112" t="s">
        <v>541</v>
      </c>
      <c r="I35" s="112" t="s">
        <v>54</v>
      </c>
      <c r="J35" s="112" t="s">
        <v>265</v>
      </c>
      <c r="K35" s="222"/>
      <c r="L35" s="124">
        <v>39.6</v>
      </c>
      <c r="M35" s="124">
        <v>22.9</v>
      </c>
      <c r="N35" s="124">
        <v>24.9</v>
      </c>
      <c r="O35" s="124">
        <v>12.6</v>
      </c>
      <c r="P35" s="124">
        <v>20.8</v>
      </c>
      <c r="Q35" s="124">
        <v>35.299999999999997</v>
      </c>
      <c r="R35" s="124">
        <v>34</v>
      </c>
      <c r="S35" s="124">
        <v>-2</v>
      </c>
      <c r="T35" s="124">
        <v>59</v>
      </c>
      <c r="U35" s="123">
        <v>17.100000000000001</v>
      </c>
      <c r="V35" s="415" t="s">
        <v>1270</v>
      </c>
      <c r="W35" s="395" t="s">
        <v>1270</v>
      </c>
      <c r="X35" s="413" t="s">
        <v>1270</v>
      </c>
      <c r="Y35" s="228"/>
      <c r="Z35" s="228"/>
      <c r="AA35" s="228"/>
      <c r="AB35" s="411" t="s">
        <v>47</v>
      </c>
      <c r="AC35" s="135" t="s">
        <v>1273</v>
      </c>
      <c r="AD35" s="122"/>
      <c r="AE35" s="127">
        <v>66.900000000000006</v>
      </c>
      <c r="AF35" s="136" t="s">
        <v>1273</v>
      </c>
      <c r="AG35" s="122"/>
      <c r="AH35" s="122">
        <v>30.8</v>
      </c>
      <c r="AI35" s="139" t="s">
        <v>525</v>
      </c>
      <c r="AJ35" s="122"/>
      <c r="AK35" s="121">
        <v>23.3</v>
      </c>
      <c r="AL35" s="139" t="s">
        <v>525</v>
      </c>
      <c r="AM35" s="122"/>
      <c r="AN35" s="127">
        <v>17.3</v>
      </c>
      <c r="AO35" s="122">
        <v>12.5</v>
      </c>
      <c r="AP35" s="139" t="s">
        <v>636</v>
      </c>
      <c r="AQ35" s="122">
        <v>20.100000000000001</v>
      </c>
      <c r="AR35" s="125">
        <v>7.7</v>
      </c>
      <c r="AS35" s="139" t="s">
        <v>1070</v>
      </c>
      <c r="AT35" s="122"/>
      <c r="AU35" s="122"/>
      <c r="AV35" s="122"/>
      <c r="AW35" s="122">
        <v>16.7</v>
      </c>
      <c r="AX35" s="125">
        <v>13.2</v>
      </c>
      <c r="AY35" s="139" t="s">
        <v>1070</v>
      </c>
      <c r="AZ35" s="122"/>
      <c r="BA35" s="460"/>
      <c r="BB35" s="122"/>
      <c r="BC35" s="122">
        <v>11.7</v>
      </c>
      <c r="BD35" s="139" t="s">
        <v>1505</v>
      </c>
      <c r="BE35" s="122" t="str">
        <f ca="1">INDIRECT(ADDRESS(MATCH($B35,'【別紙1】標高（入力）'!$B:$B,0),'【別紙1】標高（入力）'!AE$2,4,TRUE,"【別紙1】標高（入力）"))</f>
        <v/>
      </c>
      <c r="BF35" s="122" t="str">
        <f ca="1">INDIRECT(ADDRESS(MATCH($B35,'【別紙1】標高（入力）'!$B:$B,0),'【別紙1】標高（入力）'!AF$2,4,TRUE,"【別紙1】標高（入力）"))</f>
        <v/>
      </c>
      <c r="BG35" s="122" t="str">
        <f ca="1">INDIRECT(ADDRESS(MATCH($B35,'【別紙1】標高（入力）'!$B:$B,0),'【別紙1】標高（入力）'!AG$2,4,TRUE,"【別紙1】標高（入力）"))</f>
        <v/>
      </c>
      <c r="BH35" s="624" t="str">
        <f ca="1">INDIRECT(ADDRESS(MATCH($B35,'【別紙1】標高（入力）'!$B:$B,0),'【別紙1】標高（入力）'!AH$2,4,TRUE,"【別紙1】標高（入力）"))</f>
        <v/>
      </c>
      <c r="BI35" s="121">
        <f ca="1">INDIRECT(ADDRESS(MATCH($B35,'【別紙1】標高（入力）'!$B:$B,0),'【別紙1】標高（入力）'!AI$2,4,TRUE,"【別紙1】標高（入力）"))</f>
        <v>37.800000000000281</v>
      </c>
      <c r="BJ35" s="567" t="str">
        <f ca="1">INDIRECT(ADDRESS(MATCH($B35,'【別紙1】標高（入力）'!$B:$B,0),'【別紙1】標高（入力）'!AJ$2,4,TRUE,"【別紙1】標高（入力）"))</f>
        <v/>
      </c>
      <c r="BK35" s="598" t="str">
        <f t="shared" ca="1" si="0"/>
        <v>-</v>
      </c>
      <c r="BL35" s="604">
        <f t="shared" ca="1" si="1"/>
        <v>484.40000000000003</v>
      </c>
      <c r="BM35" s="602" t="str">
        <f ca="1">INDIRECT(ADDRESS(MATCH($B35,'【別紙1】標高（入力）'!$B:$B,0),'【別紙1】標高（入力）'!$N$2,4,TRUE,"【別紙1】標高（入力）"))</f>
        <v>R5</v>
      </c>
      <c r="BN35" s="342">
        <f ca="1">INDIRECT(ADDRESS(MATCH($B35,'【別紙1】標高（入力）'!$B:$B,0),'【別紙1】標高（入力）'!$O$2,4,TRUE,"【別紙1】標高（入力）"))</f>
        <v>2.0078999999999998</v>
      </c>
      <c r="BO35" s="392"/>
    </row>
    <row r="36" spans="1:67" ht="15.95" customHeight="1">
      <c r="A36" s="119">
        <v>221</v>
      </c>
      <c r="B36" s="591">
        <v>8417</v>
      </c>
      <c r="C36" s="114" t="s">
        <v>38</v>
      </c>
      <c r="D36" s="110" t="s">
        <v>681</v>
      </c>
      <c r="E36" s="597" t="s">
        <v>1410</v>
      </c>
      <c r="F36" s="111" t="s">
        <v>12</v>
      </c>
      <c r="G36" s="112" t="s">
        <v>10</v>
      </c>
      <c r="H36" s="112" t="s">
        <v>541</v>
      </c>
      <c r="I36" s="112" t="s">
        <v>539</v>
      </c>
      <c r="J36" s="112" t="s">
        <v>265</v>
      </c>
      <c r="K36" s="224"/>
      <c r="L36" s="228"/>
      <c r="M36" s="221"/>
      <c r="N36" s="124">
        <v>10.199999999999999</v>
      </c>
      <c r="O36" s="136" t="s">
        <v>636</v>
      </c>
      <c r="P36" s="127">
        <v>23.4</v>
      </c>
      <c r="Q36" s="124">
        <v>10.6</v>
      </c>
      <c r="R36" s="124">
        <v>7.5</v>
      </c>
      <c r="S36" s="124">
        <v>-2.4</v>
      </c>
      <c r="T36" s="124">
        <v>11.1</v>
      </c>
      <c r="U36" s="124">
        <v>1.7</v>
      </c>
      <c r="V36" s="124">
        <v>15.7</v>
      </c>
      <c r="W36" s="124">
        <v>11.8</v>
      </c>
      <c r="X36" s="124">
        <v>3.4</v>
      </c>
      <c r="Y36" s="136" t="s">
        <v>652</v>
      </c>
      <c r="Z36" s="122"/>
      <c r="AA36" s="122"/>
      <c r="AB36" s="127">
        <v>40.5</v>
      </c>
      <c r="AC36" s="124">
        <v>10.7</v>
      </c>
      <c r="AD36" s="124">
        <v>4.7</v>
      </c>
      <c r="AE36" s="124">
        <v>5.9</v>
      </c>
      <c r="AF36" s="124">
        <v>10.7</v>
      </c>
      <c r="AG36" s="124">
        <v>-0.7</v>
      </c>
      <c r="AH36" s="123">
        <v>11.9</v>
      </c>
      <c r="AI36" s="139" t="s">
        <v>637</v>
      </c>
      <c r="AJ36" s="121">
        <v>7.9</v>
      </c>
      <c r="AK36" s="121">
        <v>6.1</v>
      </c>
      <c r="AL36" s="122">
        <v>5.0999999999999996</v>
      </c>
      <c r="AM36" s="136" t="s">
        <v>637</v>
      </c>
      <c r="AN36" s="122">
        <v>10.9</v>
      </c>
      <c r="AO36" s="125">
        <v>11.7</v>
      </c>
      <c r="AP36" s="139" t="s">
        <v>525</v>
      </c>
      <c r="AQ36" s="122"/>
      <c r="AR36" s="122">
        <v>14.899999999999901</v>
      </c>
      <c r="AS36" s="139" t="s">
        <v>1072</v>
      </c>
      <c r="AT36" s="122"/>
      <c r="AU36" s="122"/>
      <c r="AV36" s="122"/>
      <c r="AW36" s="122"/>
      <c r="AX36" s="122">
        <v>21.1</v>
      </c>
      <c r="AY36" s="139" t="s">
        <v>1070</v>
      </c>
      <c r="AZ36" s="122"/>
      <c r="BA36" s="460"/>
      <c r="BB36" s="122"/>
      <c r="BC36" s="122">
        <v>0.2</v>
      </c>
      <c r="BD36" s="139" t="s">
        <v>1505</v>
      </c>
      <c r="BE36" s="122" t="str">
        <f ca="1">INDIRECT(ADDRESS(MATCH($B36,'【別紙1】標高（入力）'!$B:$B,0),'【別紙1】標高（入力）'!AE$2,4,TRUE,"【別紙1】標高（入力）"))</f>
        <v/>
      </c>
      <c r="BF36" s="122" t="str">
        <f ca="1">INDIRECT(ADDRESS(MATCH($B36,'【別紙1】標高（入力）'!$B:$B,0),'【別紙1】標高（入力）'!AF$2,4,TRUE,"【別紙1】標高（入力）"))</f>
        <v/>
      </c>
      <c r="BG36" s="122" t="str">
        <f ca="1">INDIRECT(ADDRESS(MATCH($B36,'【別紙1】標高（入力）'!$B:$B,0),'【別紙1】標高（入力）'!AG$2,4,TRUE,"【別紙1】標高（入力）"))</f>
        <v/>
      </c>
      <c r="BH36" s="624" t="str">
        <f ca="1">INDIRECT(ADDRESS(MATCH($B36,'【別紙1】標高（入力）'!$B:$B,0),'【別紙1】標高（入力）'!AH$2,4,TRUE,"【別紙1】標高（入力）"))</f>
        <v/>
      </c>
      <c r="BI36" s="121">
        <f ca="1">INDIRECT(ADDRESS(MATCH($B36,'【別紙1】標高（入力）'!$B:$B,0),'【別紙1】標高（入力）'!AI$2,4,TRUE,"【別紙1】標高（入力）"))</f>
        <v>15.899999999999359</v>
      </c>
      <c r="BJ36" s="624" t="str">
        <f ca="1">INDIRECT(ADDRESS(MATCH($B36,'【別紙1】標高（入力）'!$B:$B,0),'【別紙1】標高（入力）'!AJ$2,4,TRUE,"【別紙1】標高（入力）"))</f>
        <v/>
      </c>
      <c r="BK36" s="598" t="str">
        <f t="shared" ca="1" si="0"/>
        <v>-</v>
      </c>
      <c r="BL36" s="604">
        <f t="shared" ca="1" si="1"/>
        <v>254.59999999999985</v>
      </c>
      <c r="BM36" s="602" t="str">
        <f ca="1">INDIRECT(ADDRESS(MATCH($B36,'【別紙1】標高（入力）'!$B:$B,0),'【別紙1】標高（入力）'!$N$2,4,TRUE,"【別紙1】標高（入力）"))</f>
        <v>R5</v>
      </c>
      <c r="BN36" s="342">
        <f ca="1">INDIRECT(ADDRESS(MATCH($B36,'【別紙1】標高（入力）'!$B:$B,0),'【別紙1】標高（入力）'!$O$2,4,TRUE,"【別紙1】標高（入力）"))</f>
        <v>4.0772000000000004</v>
      </c>
      <c r="BO36" s="392"/>
    </row>
    <row r="37" spans="1:67" ht="15.95" customHeight="1">
      <c r="A37" s="119">
        <v>222</v>
      </c>
      <c r="B37" s="107" t="s">
        <v>425</v>
      </c>
      <c r="C37" s="114" t="s">
        <v>38</v>
      </c>
      <c r="D37" s="110" t="s">
        <v>567</v>
      </c>
      <c r="E37" s="109" t="s">
        <v>79</v>
      </c>
      <c r="F37" s="111" t="s">
        <v>9</v>
      </c>
      <c r="G37" s="112" t="s">
        <v>10</v>
      </c>
      <c r="H37" s="112" t="s">
        <v>541</v>
      </c>
      <c r="I37" s="112" t="s">
        <v>54</v>
      </c>
      <c r="J37" s="112" t="s">
        <v>265</v>
      </c>
      <c r="K37" s="224"/>
      <c r="L37" s="228"/>
      <c r="M37" s="221"/>
      <c r="N37" s="124">
        <v>18</v>
      </c>
      <c r="O37" s="124">
        <v>13.3</v>
      </c>
      <c r="P37" s="124">
        <v>23.3</v>
      </c>
      <c r="Q37" s="123">
        <v>13.2</v>
      </c>
      <c r="R37" s="411" t="s">
        <v>1270</v>
      </c>
      <c r="S37" s="127">
        <v>9.8000000000000007</v>
      </c>
      <c r="T37" s="124">
        <v>27</v>
      </c>
      <c r="U37" s="124">
        <v>13.6</v>
      </c>
      <c r="V37" s="124">
        <v>28.3</v>
      </c>
      <c r="W37" s="124">
        <v>31.3</v>
      </c>
      <c r="X37" s="124">
        <v>23.5</v>
      </c>
      <c r="Y37" s="224"/>
      <c r="Z37" s="228"/>
      <c r="AA37" s="228"/>
      <c r="AB37" s="411" t="s">
        <v>47</v>
      </c>
      <c r="AC37" s="135" t="s">
        <v>1273</v>
      </c>
      <c r="AD37" s="122"/>
      <c r="AE37" s="127">
        <v>23.1</v>
      </c>
      <c r="AF37" s="136" t="s">
        <v>1273</v>
      </c>
      <c r="AG37" s="122"/>
      <c r="AH37" s="122">
        <v>23.7</v>
      </c>
      <c r="AI37" s="139" t="s">
        <v>525</v>
      </c>
      <c r="AJ37" s="122"/>
      <c r="AK37" s="121">
        <v>16</v>
      </c>
      <c r="AL37" s="139" t="s">
        <v>525</v>
      </c>
      <c r="AM37" s="122"/>
      <c r="AN37" s="127">
        <v>9.1999999999999993</v>
      </c>
      <c r="AO37" s="122">
        <v>11.1</v>
      </c>
      <c r="AP37" s="139" t="s">
        <v>525</v>
      </c>
      <c r="AQ37" s="122"/>
      <c r="AR37" s="122">
        <v>11.8</v>
      </c>
      <c r="AS37" s="139" t="s">
        <v>1072</v>
      </c>
      <c r="AT37" s="122"/>
      <c r="AU37" s="122"/>
      <c r="AV37" s="122"/>
      <c r="AW37" s="122"/>
      <c r="AX37" s="122">
        <v>12.6</v>
      </c>
      <c r="AY37" s="139" t="s">
        <v>1070</v>
      </c>
      <c r="AZ37" s="122"/>
      <c r="BA37" s="460"/>
      <c r="BB37" s="122"/>
      <c r="BC37" s="122">
        <v>-1.9</v>
      </c>
      <c r="BD37" s="139" t="s">
        <v>1505</v>
      </c>
      <c r="BE37" s="122" t="str">
        <f ca="1">INDIRECT(ADDRESS(MATCH($B37,'【別紙1】標高（入力）'!$B:$B,0),'【別紙1】標高（入力）'!AE$2,4,TRUE,"【別紙1】標高（入力）"))</f>
        <v/>
      </c>
      <c r="BF37" s="122" t="str">
        <f ca="1">INDIRECT(ADDRESS(MATCH($B37,'【別紙1】標高（入力）'!$B:$B,0),'【別紙1】標高（入力）'!AF$2,4,TRUE,"【別紙1】標高（入力）"))</f>
        <v/>
      </c>
      <c r="BG37" s="122" t="str">
        <f ca="1">INDIRECT(ADDRESS(MATCH($B37,'【別紙1】標高（入力）'!$B:$B,0),'【別紙1】標高（入力）'!AG$2,4,TRUE,"【別紙1】標高（入力）"))</f>
        <v/>
      </c>
      <c r="BH37" s="624" t="str">
        <f ca="1">INDIRECT(ADDRESS(MATCH($B37,'【別紙1】標高（入力）'!$B:$B,0),'【別紙1】標高（入力）'!AH$2,4,TRUE,"【別紙1】標高（入力）"))</f>
        <v/>
      </c>
      <c r="BI37" s="121">
        <f ca="1">INDIRECT(ADDRESS(MATCH($B37,'【別紙1】標高（入力）'!$B:$B,0),'【別紙1】標高（入力）'!AI$2,4,TRUE,"【別紙1】標高（入力）"))</f>
        <v>12.000000000000011</v>
      </c>
      <c r="BJ37" s="624" t="str">
        <f ca="1">INDIRECT(ADDRESS(MATCH($B37,'【別紙1】標高（入力）'!$B:$B,0),'【別紙1】標高（入力）'!AJ$2,4,TRUE,"【別紙1】標高（入力）"))</f>
        <v/>
      </c>
      <c r="BK37" s="598" t="str">
        <f t="shared" ca="1" si="0"/>
        <v>-</v>
      </c>
      <c r="BL37" s="604">
        <f t="shared" ca="1" si="1"/>
        <v>306.90000000000009</v>
      </c>
      <c r="BM37" s="602" t="str">
        <f ca="1">INDIRECT(ADDRESS(MATCH($B37,'【別紙1】標高（入力）'!$B:$B,0),'【別紙1】標高（入力）'!$N$2,4,TRUE,"【別紙1】標高（入力）"))</f>
        <v>R5</v>
      </c>
      <c r="BN37" s="342">
        <f ca="1">INDIRECT(ADDRESS(MATCH($B37,'【別紙1】標高（入力）'!$B:$B,0),'【別紙1】標高（入力）'!$O$2,4,TRUE,"【別紙1】標高（入力）"))</f>
        <v>2.2166000000000001</v>
      </c>
      <c r="BO37" s="392"/>
    </row>
    <row r="38" spans="1:67" ht="15.95" customHeight="1">
      <c r="A38" s="119">
        <v>223</v>
      </c>
      <c r="B38" s="107" t="s">
        <v>593</v>
      </c>
      <c r="C38" s="114" t="s">
        <v>38</v>
      </c>
      <c r="D38" s="110" t="s">
        <v>568</v>
      </c>
      <c r="E38" s="109" t="s">
        <v>81</v>
      </c>
      <c r="F38" s="111" t="s">
        <v>9</v>
      </c>
      <c r="G38" s="112" t="s">
        <v>10</v>
      </c>
      <c r="H38" s="112" t="s">
        <v>541</v>
      </c>
      <c r="I38" s="112" t="s">
        <v>539</v>
      </c>
      <c r="J38" s="112" t="s">
        <v>270</v>
      </c>
      <c r="K38" s="224"/>
      <c r="L38" s="228"/>
      <c r="M38" s="221"/>
      <c r="N38" s="123">
        <v>6.1</v>
      </c>
      <c r="O38" s="415" t="s">
        <v>1270</v>
      </c>
      <c r="P38" s="413" t="s">
        <v>1270</v>
      </c>
      <c r="Q38" s="127">
        <v>26.1</v>
      </c>
      <c r="R38" s="124">
        <v>5.9</v>
      </c>
      <c r="S38" s="124">
        <v>-6</v>
      </c>
      <c r="T38" s="124">
        <v>12.8</v>
      </c>
      <c r="U38" s="124">
        <v>2.8</v>
      </c>
      <c r="V38" s="124">
        <v>16.600000000000001</v>
      </c>
      <c r="W38" s="124">
        <v>6.2</v>
      </c>
      <c r="X38" s="124">
        <v>1.6</v>
      </c>
      <c r="Y38" s="136" t="s">
        <v>652</v>
      </c>
      <c r="Z38" s="122"/>
      <c r="AA38" s="122"/>
      <c r="AB38" s="127">
        <v>16.600000000000001</v>
      </c>
      <c r="AC38" s="136" t="s">
        <v>1273</v>
      </c>
      <c r="AD38" s="122"/>
      <c r="AE38" s="127">
        <v>17.899999999999999</v>
      </c>
      <c r="AF38" s="136" t="s">
        <v>1273</v>
      </c>
      <c r="AG38" s="122"/>
      <c r="AH38" s="122">
        <v>16.2</v>
      </c>
      <c r="AI38" s="139" t="s">
        <v>525</v>
      </c>
      <c r="AJ38" s="122"/>
      <c r="AK38" s="121">
        <v>8.9</v>
      </c>
      <c r="AL38" s="139" t="s">
        <v>525</v>
      </c>
      <c r="AM38" s="122"/>
      <c r="AN38" s="127">
        <v>5.6</v>
      </c>
      <c r="AO38" s="122">
        <v>11.2</v>
      </c>
      <c r="AP38" s="139" t="s">
        <v>525</v>
      </c>
      <c r="AQ38" s="122"/>
      <c r="AR38" s="122">
        <v>10.5999999999999</v>
      </c>
      <c r="AS38" s="139" t="s">
        <v>1072</v>
      </c>
      <c r="AT38" s="122"/>
      <c r="AU38" s="122"/>
      <c r="AV38" s="122"/>
      <c r="AW38" s="122"/>
      <c r="AX38" s="122">
        <v>17.899999999999999</v>
      </c>
      <c r="AY38" s="139" t="s">
        <v>1070</v>
      </c>
      <c r="AZ38" s="122"/>
      <c r="BA38" s="460"/>
      <c r="BB38" s="122"/>
      <c r="BC38" s="122">
        <v>-5.5</v>
      </c>
      <c r="BD38" s="139" t="s">
        <v>1505</v>
      </c>
      <c r="BE38" s="122" t="str">
        <f ca="1">INDIRECT(ADDRESS(MATCH($B38,'【別紙1】標高（入力）'!$B:$B,0),'【別紙1】標高（入力）'!AE$2,4,TRUE,"【別紙1】標高（入力）"))</f>
        <v/>
      </c>
      <c r="BF38" s="122" t="str">
        <f ca="1">INDIRECT(ADDRESS(MATCH($B38,'【別紙1】標高（入力）'!$B:$B,0),'【別紙1】標高（入力）'!AF$2,4,TRUE,"【別紙1】標高（入力）"))</f>
        <v/>
      </c>
      <c r="BG38" s="122" t="str">
        <f ca="1">INDIRECT(ADDRESS(MATCH($B38,'【別紙1】標高（入力）'!$B:$B,0),'【別紙1】標高（入力）'!AG$2,4,TRUE,"【別紙1】標高（入力）"))</f>
        <v/>
      </c>
      <c r="BH38" s="624" t="str">
        <f ca="1">INDIRECT(ADDRESS(MATCH($B38,'【別紙1】標高（入力）'!$B:$B,0),'【別紙1】標高（入力）'!AH$2,4,TRUE,"【別紙1】標高（入力）"))</f>
        <v/>
      </c>
      <c r="BI38" s="121">
        <f ca="1">INDIRECT(ADDRESS(MATCH($B38,'【別紙1】標高（入力）'!$B:$B,0),'【別紙1】標高（入力）'!AI$2,4,TRUE,"【別紙1】標高（入力）"))</f>
        <v>7.9000000000000181</v>
      </c>
      <c r="BJ38" s="624" t="str">
        <f ca="1">INDIRECT(ADDRESS(MATCH($B38,'【別紙1】標高（入力）'!$B:$B,0),'【別紙1】標高（入力）'!AJ$2,4,TRUE,"【別紙1】標高（入力）"))</f>
        <v/>
      </c>
      <c r="BK38" s="598" t="str">
        <f t="shared" ca="1" si="0"/>
        <v>-</v>
      </c>
      <c r="BL38" s="604">
        <f t="shared" ca="1" si="1"/>
        <v>171.49999999999991</v>
      </c>
      <c r="BM38" s="602" t="str">
        <f ca="1">INDIRECT(ADDRESS(MATCH($B38,'【別紙1】標高（入力）'!$B:$B,0),'【別紙1】標高（入力）'!$N$2,4,TRUE,"【別紙1】標高（入力）"))</f>
        <v>R5</v>
      </c>
      <c r="BN38" s="342">
        <f ca="1">INDIRECT(ADDRESS(MATCH($B38,'【別紙1】標高（入力）'!$B:$B,0),'【別紙1】標高（入力）'!$O$2,4,TRUE,"【別紙1】標高（入力）"))</f>
        <v>1.9367000000000001</v>
      </c>
      <c r="BO38" s="392"/>
    </row>
    <row r="39" spans="1:67" ht="15.95" customHeight="1">
      <c r="A39" s="119">
        <v>224</v>
      </c>
      <c r="B39" s="107" t="s">
        <v>426</v>
      </c>
      <c r="C39" s="114" t="s">
        <v>38</v>
      </c>
      <c r="D39" s="110" t="s">
        <v>715</v>
      </c>
      <c r="E39" s="109" t="s">
        <v>83</v>
      </c>
      <c r="F39" s="111" t="s">
        <v>9</v>
      </c>
      <c r="G39" s="112" t="s">
        <v>10</v>
      </c>
      <c r="H39" s="112" t="s">
        <v>541</v>
      </c>
      <c r="I39" s="112" t="s">
        <v>539</v>
      </c>
      <c r="J39" s="112" t="s">
        <v>270</v>
      </c>
      <c r="K39" s="224"/>
      <c r="L39" s="228"/>
      <c r="M39" s="221"/>
      <c r="N39" s="124">
        <v>38.4</v>
      </c>
      <c r="O39" s="124">
        <v>12.8</v>
      </c>
      <c r="P39" s="124">
        <v>4.3</v>
      </c>
      <c r="Q39" s="124">
        <v>10.8</v>
      </c>
      <c r="R39" s="124">
        <v>4.3</v>
      </c>
      <c r="S39" s="124">
        <v>2.9</v>
      </c>
      <c r="T39" s="124">
        <v>19.399999999999999</v>
      </c>
      <c r="U39" s="124">
        <v>-7.8</v>
      </c>
      <c r="V39" s="124">
        <v>15.4</v>
      </c>
      <c r="W39" s="124">
        <v>-2.6</v>
      </c>
      <c r="X39" s="124">
        <v>0.4</v>
      </c>
      <c r="Y39" s="136" t="s">
        <v>652</v>
      </c>
      <c r="Z39" s="122"/>
      <c r="AA39" s="122"/>
      <c r="AB39" s="127">
        <v>16.8</v>
      </c>
      <c r="AC39" s="136" t="s">
        <v>1273</v>
      </c>
      <c r="AD39" s="122"/>
      <c r="AE39" s="127">
        <v>13.3</v>
      </c>
      <c r="AF39" s="136" t="s">
        <v>1273</v>
      </c>
      <c r="AG39" s="122"/>
      <c r="AH39" s="122">
        <v>19.399999999999999</v>
      </c>
      <c r="AI39" s="139" t="s">
        <v>695</v>
      </c>
      <c r="AJ39" s="122"/>
      <c r="AK39" s="122"/>
      <c r="AL39" s="122"/>
      <c r="AM39" s="122"/>
      <c r="AN39" s="122"/>
      <c r="AO39" s="122">
        <v>33.9</v>
      </c>
      <c r="AP39" s="139" t="s">
        <v>525</v>
      </c>
      <c r="AQ39" s="122"/>
      <c r="AR39" s="122">
        <v>10.5</v>
      </c>
      <c r="AS39" s="126">
        <v>0.5</v>
      </c>
      <c r="AT39" s="139" t="s">
        <v>1070</v>
      </c>
      <c r="AU39" s="122"/>
      <c r="AV39" s="122"/>
      <c r="AW39" s="122"/>
      <c r="AX39" s="122">
        <v>8.8000000000000007</v>
      </c>
      <c r="AY39" s="139" t="s">
        <v>1069</v>
      </c>
      <c r="AZ39" s="121">
        <v>-5.8</v>
      </c>
      <c r="BA39" s="463" t="s">
        <v>1068</v>
      </c>
      <c r="BB39" s="122"/>
      <c r="BC39" s="122">
        <v>0</v>
      </c>
      <c r="BD39" s="139" t="s">
        <v>1069</v>
      </c>
      <c r="BE39" s="121">
        <f ca="1">INDIRECT(ADDRESS(MATCH($B39,'【別紙1】標高（入力）'!$B:$B,0),'【別紙1】標高（入力）'!AE$2,4,TRUE,"【別紙1】標高（入力）"))</f>
        <v>3.4000000000000696</v>
      </c>
      <c r="BF39" s="135" t="s">
        <v>1337</v>
      </c>
      <c r="BG39" s="122" t="str">
        <f ca="1">INDIRECT(ADDRESS(MATCH($B39,'【別紙1】標高（入力）'!$B:$B,0),'【別紙1】標高（入力）'!AG$2,4,TRUE,"【別紙1】標高（入力）"))</f>
        <v/>
      </c>
      <c r="BH39" s="122" t="str">
        <f ca="1">INDIRECT(ADDRESS(MATCH($B39,'【別紙1】標高（入力）'!$B:$B,0),'【別紙1】標高（入力）'!AH$2,4,TRUE,"【別紙1】標高（入力）"))</f>
        <v/>
      </c>
      <c r="BI39" s="121">
        <f ca="1">INDIRECT(ADDRESS(MATCH($B39,'【別紙1】標高（入力）'!$B:$B,0),'【別紙1】標高（入力）'!AI$2,4,TRUE,"【別紙1】標高（入力）"))</f>
        <v>7.6000000000000512</v>
      </c>
      <c r="BJ39" s="624" t="str">
        <f ca="1">INDIRECT(ADDRESS(MATCH($B39,'【別紙1】標高（入力）'!$B:$B,0),'【別紙1】標高（入力）'!AJ$2,4,TRUE,"【別紙1】標高（入力）"))</f>
        <v/>
      </c>
      <c r="BK39" s="598" t="str">
        <f t="shared" ref="BK39:BK40" ca="1" si="8">IF(AND(ISNUMBER(BI39)*1,ISNUMBER(BH39)*1),BI39,"-")</f>
        <v>-</v>
      </c>
      <c r="BL39" s="604">
        <f t="shared" ref="BL39:BL40" ca="1" si="9">SUM(K39:BI39)</f>
        <v>206.70000000000016</v>
      </c>
      <c r="BM39" s="600" t="str">
        <f ca="1">INDIRECT(ADDRESS(MATCH($B39,'【別紙1】標高（入力）'!$B:$B,0),'【別紙1】標高（入力）'!$N$2,4,TRUE,"【別紙1】標高（入力）"))</f>
        <v>R5</v>
      </c>
      <c r="BN39" s="342">
        <f ca="1">INDIRECT(ADDRESS(MATCH($B39,'【別紙1】標高（入力）'!$B:$B,0),'【別紙1】標高（入力）'!$O$2,4,TRUE,"【別紙1】標高（入力）"))</f>
        <v>3.7437</v>
      </c>
      <c r="BO39" s="392"/>
    </row>
    <row r="40" spans="1:67" ht="15.95" customHeight="1">
      <c r="A40" s="119">
        <v>225</v>
      </c>
      <c r="B40" s="107" t="s">
        <v>427</v>
      </c>
      <c r="C40" s="114" t="s">
        <v>38</v>
      </c>
      <c r="D40" s="110" t="s">
        <v>322</v>
      </c>
      <c r="E40" s="109" t="s">
        <v>1411</v>
      </c>
      <c r="F40" s="111" t="s">
        <v>9</v>
      </c>
      <c r="G40" s="112" t="s">
        <v>10</v>
      </c>
      <c r="H40" s="112" t="s">
        <v>541</v>
      </c>
      <c r="I40" s="112" t="s">
        <v>539</v>
      </c>
      <c r="J40" s="112" t="s">
        <v>270</v>
      </c>
      <c r="K40" s="224"/>
      <c r="L40" s="228"/>
      <c r="M40" s="221"/>
      <c r="N40" s="124">
        <v>32.700000000000003</v>
      </c>
      <c r="O40" s="124">
        <v>11</v>
      </c>
      <c r="P40" s="124">
        <v>16.600000000000001</v>
      </c>
      <c r="Q40" s="124">
        <v>16.399999999999999</v>
      </c>
      <c r="R40" s="124">
        <v>5.3</v>
      </c>
      <c r="S40" s="124">
        <v>6.5</v>
      </c>
      <c r="T40" s="124">
        <v>26</v>
      </c>
      <c r="U40" s="124">
        <v>-1.4</v>
      </c>
      <c r="V40" s="124">
        <v>26.1</v>
      </c>
      <c r="W40" s="124">
        <v>47.4</v>
      </c>
      <c r="X40" s="124">
        <v>28.2</v>
      </c>
      <c r="Y40" s="136" t="s">
        <v>652</v>
      </c>
      <c r="Z40" s="122"/>
      <c r="AA40" s="122"/>
      <c r="AB40" s="127">
        <v>16.3</v>
      </c>
      <c r="AC40" s="136" t="s">
        <v>1273</v>
      </c>
      <c r="AD40" s="122"/>
      <c r="AE40" s="127">
        <v>11</v>
      </c>
      <c r="AF40" s="136" t="s">
        <v>1273</v>
      </c>
      <c r="AG40" s="122"/>
      <c r="AH40" s="122">
        <v>15.2</v>
      </c>
      <c r="AI40" s="139" t="s">
        <v>695</v>
      </c>
      <c r="AJ40" s="122"/>
      <c r="AK40" s="122"/>
      <c r="AL40" s="122"/>
      <c r="AM40" s="122"/>
      <c r="AN40" s="122"/>
      <c r="AO40" s="122">
        <v>18.3</v>
      </c>
      <c r="AP40" s="139" t="s">
        <v>525</v>
      </c>
      <c r="AQ40" s="122"/>
      <c r="AR40" s="122">
        <v>7.1999999999996502</v>
      </c>
      <c r="AS40" s="126">
        <v>1</v>
      </c>
      <c r="AT40" s="139" t="s">
        <v>1070</v>
      </c>
      <c r="AU40" s="122"/>
      <c r="AV40" s="122"/>
      <c r="AW40" s="122"/>
      <c r="AX40" s="122">
        <v>7.7</v>
      </c>
      <c r="AY40" s="139" t="s">
        <v>1069</v>
      </c>
      <c r="AZ40" s="121">
        <v>-4.9000000000000004</v>
      </c>
      <c r="BA40" s="463" t="s">
        <v>1068</v>
      </c>
      <c r="BB40" s="122"/>
      <c r="BC40" s="122">
        <v>2.2000000000000002</v>
      </c>
      <c r="BD40" s="139" t="s">
        <v>1069</v>
      </c>
      <c r="BE40" s="121">
        <f ca="1">INDIRECT(ADDRESS(MATCH($B40,'【別紙1】標高（入力）'!$B:$B,0),'【別紙1】標高（入力）'!AE$2,4,TRUE,"【別紙1】標高（入力）"))</f>
        <v>5.5000000000000604</v>
      </c>
      <c r="BF40" s="135" t="s">
        <v>1337</v>
      </c>
      <c r="BG40" s="122" t="str">
        <f ca="1">INDIRECT(ADDRESS(MATCH($B40,'【別紙1】標高（入力）'!$B:$B,0),'【別紙1】標高（入力）'!AG$2,4,TRUE,"【別紙1】標高（入力）"))</f>
        <v/>
      </c>
      <c r="BH40" s="122" t="str">
        <f ca="1">INDIRECT(ADDRESS(MATCH($B40,'【別紙1】標高（入力）'!$B:$B,0),'【別紙1】標高（入力）'!AH$2,4,TRUE,"【別紙1】標高（入力）"))</f>
        <v/>
      </c>
      <c r="BI40" s="121">
        <f ca="1">INDIRECT(ADDRESS(MATCH($B40,'【別紙1】標高（入力）'!$B:$B,0),'【別紙1】標高（入力）'!AI$2,4,TRUE,"【別紙1】標高（入力）"))</f>
        <v>8.1999999999999851</v>
      </c>
      <c r="BJ40" s="624" t="str">
        <f ca="1">INDIRECT(ADDRESS(MATCH($B40,'【別紙1】標高（入力）'!$B:$B,0),'【別紙1】標高（入力）'!AJ$2,4,TRUE,"【別紙1】標高（入力）"))</f>
        <v/>
      </c>
      <c r="BK40" s="598" t="str">
        <f t="shared" ca="1" si="8"/>
        <v>-</v>
      </c>
      <c r="BL40" s="604">
        <f t="shared" ca="1" si="9"/>
        <v>302.49999999999972</v>
      </c>
      <c r="BM40" s="600" t="str">
        <f ca="1">INDIRECT(ADDRESS(MATCH($B40,'【別紙1】標高（入力）'!$B:$B,0),'【別紙1】標高（入力）'!$N$2,4,TRUE,"【別紙1】標高（入力）"))</f>
        <v>R5</v>
      </c>
      <c r="BN40" s="342">
        <f ca="1">INDIRECT(ADDRESS(MATCH($B40,'【別紙1】標高（入力）'!$B:$B,0),'【別紙1】標高（入力）'!$O$2,4,TRUE,"【別紙1】標高（入力）"))</f>
        <v>3.5232000000000001</v>
      </c>
      <c r="BO40" s="392"/>
    </row>
    <row r="41" spans="1:67" ht="15.95" customHeight="1">
      <c r="A41" s="119">
        <v>226</v>
      </c>
      <c r="B41" s="107" t="s">
        <v>428</v>
      </c>
      <c r="C41" s="114" t="s">
        <v>38</v>
      </c>
      <c r="D41" s="110" t="s">
        <v>322</v>
      </c>
      <c r="E41" s="597" t="s">
        <v>1412</v>
      </c>
      <c r="F41" s="111" t="s">
        <v>9</v>
      </c>
      <c r="G41" s="112" t="s">
        <v>10</v>
      </c>
      <c r="H41" s="112" t="s">
        <v>64</v>
      </c>
      <c r="I41" s="112" t="s">
        <v>539</v>
      </c>
      <c r="J41" s="112" t="s">
        <v>270</v>
      </c>
      <c r="K41" s="224"/>
      <c r="L41" s="228"/>
      <c r="M41" s="221"/>
      <c r="N41" s="124">
        <v>8.5</v>
      </c>
      <c r="O41" s="136" t="s">
        <v>636</v>
      </c>
      <c r="P41" s="127">
        <v>9.9</v>
      </c>
      <c r="Q41" s="124">
        <v>19.2</v>
      </c>
      <c r="R41" s="124">
        <v>-3.4</v>
      </c>
      <c r="S41" s="124">
        <v>-5.0999999999999996</v>
      </c>
      <c r="T41" s="124">
        <v>13.7</v>
      </c>
      <c r="U41" s="124">
        <v>-6.9</v>
      </c>
      <c r="V41" s="124">
        <v>20.399999999999999</v>
      </c>
      <c r="W41" s="124">
        <v>18.8</v>
      </c>
      <c r="X41" s="124">
        <v>8.4</v>
      </c>
      <c r="Y41" s="136" t="s">
        <v>652</v>
      </c>
      <c r="Z41" s="122"/>
      <c r="AA41" s="122"/>
      <c r="AB41" s="127">
        <v>-0.4</v>
      </c>
      <c r="AC41" s="136" t="s">
        <v>1273</v>
      </c>
      <c r="AD41" s="122"/>
      <c r="AE41" s="127">
        <v>2.8</v>
      </c>
      <c r="AF41" s="136" t="s">
        <v>1273</v>
      </c>
      <c r="AG41" s="122"/>
      <c r="AH41" s="122">
        <v>11.7</v>
      </c>
      <c r="AI41" s="139" t="s">
        <v>695</v>
      </c>
      <c r="AJ41" s="122"/>
      <c r="AK41" s="122"/>
      <c r="AL41" s="122"/>
      <c r="AM41" s="122"/>
      <c r="AN41" s="122"/>
      <c r="AO41" s="122">
        <v>16.5</v>
      </c>
      <c r="AP41" s="139" t="s">
        <v>525</v>
      </c>
      <c r="AQ41" s="122"/>
      <c r="AR41" s="122">
        <v>5.6000000000002697</v>
      </c>
      <c r="AS41" s="139" t="s">
        <v>1072</v>
      </c>
      <c r="AT41" s="122"/>
      <c r="AU41" s="122"/>
      <c r="AV41" s="122"/>
      <c r="AW41" s="122"/>
      <c r="AX41" s="122">
        <v>6.5</v>
      </c>
      <c r="AY41" s="139" t="s">
        <v>1070</v>
      </c>
      <c r="AZ41" s="122"/>
      <c r="BA41" s="460"/>
      <c r="BB41" s="122"/>
      <c r="BC41" s="122">
        <v>0.5</v>
      </c>
      <c r="BD41" s="139" t="s">
        <v>1505</v>
      </c>
      <c r="BE41" s="122" t="str">
        <f ca="1">INDIRECT(ADDRESS(MATCH($B41,'【別紙1】標高（入力）'!$B:$B,0),'【別紙1】標高（入力）'!AE$2,4,TRUE,"【別紙1】標高（入力）"))</f>
        <v/>
      </c>
      <c r="BF41" s="122" t="str">
        <f ca="1">INDIRECT(ADDRESS(MATCH($B41,'【別紙1】標高（入力）'!$B:$B,0),'【別紙1】標高（入力）'!AF$2,4,TRUE,"【別紙1】標高（入力）"))</f>
        <v/>
      </c>
      <c r="BG41" s="122" t="str">
        <f ca="1">INDIRECT(ADDRESS(MATCH($B41,'【別紙1】標高（入力）'!$B:$B,0),'【別紙1】標高（入力）'!AG$2,4,TRUE,"【別紙1】標高（入力）"))</f>
        <v/>
      </c>
      <c r="BH41" s="624" t="str">
        <f ca="1">INDIRECT(ADDRESS(MATCH($B41,'【別紙1】標高（入力）'!$B:$B,0),'【別紙1】標高（入力）'!AH$2,4,TRUE,"【別紙1】標高（入力）"))</f>
        <v/>
      </c>
      <c r="BI41" s="121">
        <f ca="1">INDIRECT(ADDRESS(MATCH($B41,'【別紙1】標高（入力）'!$B:$B,0),'【別紙1】標高（入力）'!AI$2,4,TRUE,"【別紙1】標高（入力）"))</f>
        <v>10.800000000000587</v>
      </c>
      <c r="BJ41" s="624" t="str">
        <f ca="1">INDIRECT(ADDRESS(MATCH($B41,'【別紙1】標高（入力）'!$B:$B,0),'【別紙1】標高（入力）'!AJ$2,4,TRUE,"【別紙1】標高（入力）"))</f>
        <v/>
      </c>
      <c r="BK41" s="598" t="str">
        <f t="shared" ca="1" si="0"/>
        <v>-</v>
      </c>
      <c r="BL41" s="604">
        <f t="shared" ca="1" si="1"/>
        <v>126.70000000000026</v>
      </c>
      <c r="BM41" s="602" t="str">
        <f ca="1">INDIRECT(ADDRESS(MATCH($B41,'【別紙1】標高（入力）'!$B:$B,0),'【別紙1】標高（入力）'!$N$2,4,TRUE,"【別紙1】標高（入力）"))</f>
        <v>R5</v>
      </c>
      <c r="BN41" s="342">
        <f ca="1">INDIRECT(ADDRESS(MATCH($B41,'【別紙1】標高（入力）'!$B:$B,0),'【別紙1】標高（入力）'!$O$2,4,TRUE,"【別紙1】標高（入力）"))</f>
        <v>5.3735999999999997</v>
      </c>
      <c r="BO41" s="392"/>
    </row>
    <row r="42" spans="1:67" ht="15.95" customHeight="1">
      <c r="A42" s="119">
        <v>227</v>
      </c>
      <c r="B42" s="107" t="s">
        <v>429</v>
      </c>
      <c r="C42" s="114" t="s">
        <v>38</v>
      </c>
      <c r="D42" s="110" t="s">
        <v>323</v>
      </c>
      <c r="E42" s="109" t="s">
        <v>85</v>
      </c>
      <c r="F42" s="111" t="s">
        <v>9</v>
      </c>
      <c r="G42" s="112" t="s">
        <v>73</v>
      </c>
      <c r="H42" s="112" t="s">
        <v>64</v>
      </c>
      <c r="I42" s="112" t="s">
        <v>539</v>
      </c>
      <c r="J42" s="112" t="s">
        <v>270</v>
      </c>
      <c r="K42" s="224"/>
      <c r="L42" s="228"/>
      <c r="M42" s="228"/>
      <c r="N42" s="221"/>
      <c r="O42" s="136" t="s">
        <v>636</v>
      </c>
      <c r="P42" s="127">
        <v>6.6</v>
      </c>
      <c r="Q42" s="124">
        <v>3.5</v>
      </c>
      <c r="R42" s="124">
        <v>3.1</v>
      </c>
      <c r="S42" s="124">
        <v>-4</v>
      </c>
      <c r="T42" s="124">
        <v>4.5</v>
      </c>
      <c r="U42" s="136" t="s">
        <v>636</v>
      </c>
      <c r="V42" s="127">
        <v>0</v>
      </c>
      <c r="W42" s="136" t="s">
        <v>679</v>
      </c>
      <c r="X42" s="122"/>
      <c r="Y42" s="122"/>
      <c r="Z42" s="122"/>
      <c r="AA42" s="122"/>
      <c r="AB42" s="127">
        <v>-1</v>
      </c>
      <c r="AC42" s="136" t="s">
        <v>1273</v>
      </c>
      <c r="AD42" s="122"/>
      <c r="AE42" s="127">
        <v>0.7</v>
      </c>
      <c r="AF42" s="136" t="s">
        <v>1273</v>
      </c>
      <c r="AG42" s="122"/>
      <c r="AH42" s="122">
        <v>2.2999999999999998</v>
      </c>
      <c r="AI42" s="139" t="s">
        <v>695</v>
      </c>
      <c r="AJ42" s="122"/>
      <c r="AK42" s="122"/>
      <c r="AL42" s="122"/>
      <c r="AM42" s="122"/>
      <c r="AN42" s="122"/>
      <c r="AO42" s="122">
        <v>9.1999999999999993</v>
      </c>
      <c r="AP42" s="139" t="s">
        <v>525</v>
      </c>
      <c r="AQ42" s="122"/>
      <c r="AR42" s="122">
        <v>1.39999999999985</v>
      </c>
      <c r="AS42" s="139" t="s">
        <v>1072</v>
      </c>
      <c r="AT42" s="122"/>
      <c r="AU42" s="122"/>
      <c r="AV42" s="122"/>
      <c r="AW42" s="122"/>
      <c r="AX42" s="122">
        <v>5.0999999999999996</v>
      </c>
      <c r="AY42" s="139" t="s">
        <v>1070</v>
      </c>
      <c r="AZ42" s="122"/>
      <c r="BA42" s="460"/>
      <c r="BB42" s="122"/>
      <c r="BC42" s="122">
        <v>2.5</v>
      </c>
      <c r="BD42" s="125" t="str">
        <f ca="1">INDIRECT(ADDRESS(MATCH($B42,'【別紙1】標高（入力）'!$B:$B,0),'【別紙1】標高（入力）'!AD$2,4,TRUE,"【別紙1】標高（入力）"))</f>
        <v/>
      </c>
      <c r="BE42" s="122" t="str">
        <f ca="1">INDIRECT(ADDRESS(MATCH($B42,'【別紙1】標高（入力）'!$B:$B,0),'【別紙1】標高（入力）'!AE$2,4,TRUE,"【別紙1】標高（入力）"))</f>
        <v/>
      </c>
      <c r="BF42" s="122" t="str">
        <f ca="1">INDIRECT(ADDRESS(MATCH($B42,'【別紙1】標高（入力）'!$B:$B,0),'【別紙1】標高（入力）'!AF$2,4,TRUE,"【別紙1】標高（入力）"))</f>
        <v/>
      </c>
      <c r="BG42" s="122" t="str">
        <f ca="1">INDIRECT(ADDRESS(MATCH($B42,'【別紙1】標高（入力）'!$B:$B,0),'【別紙1】標高（入力）'!AG$2,4,TRUE,"【別紙1】標高（入力）"))</f>
        <v/>
      </c>
      <c r="BH42" s="624" t="str">
        <f ca="1">INDIRECT(ADDRESS(MATCH($B42,'【別紙1】標高（入力）'!$B:$B,0),'【別紙1】標高（入力）'!AH$2,4,TRUE,"【別紙1】標高（入力）"))</f>
        <v/>
      </c>
      <c r="BI42" s="122"/>
      <c r="BJ42" s="624" t="str">
        <f ca="1">INDIRECT(ADDRESS(MATCH($B42,'【別紙1】標高（入力）'!$B:$B,0),'【別紙1】標高（入力）'!AJ$2,4,TRUE,"【別紙1】標高（入力）"))</f>
        <v/>
      </c>
      <c r="BK42" s="598" t="str">
        <f t="shared" ca="1" si="0"/>
        <v>-</v>
      </c>
      <c r="BL42" s="604">
        <f t="shared" ca="1" si="1"/>
        <v>33.899999999999849</v>
      </c>
      <c r="BM42" s="602" t="str">
        <f ca="1">INDIRECT(ADDRESS(MATCH($B42,'【別紙1】標高（入力）'!$B:$B,0),'【別紙1】標高（入力）'!$N$2,4,TRUE,"【別紙1】標高（入力）"))</f>
        <v>H29</v>
      </c>
      <c r="BN42" s="342">
        <f ca="1">INDIRECT(ADDRESS(MATCH($B42,'【別紙1】標高（入力）'!$B:$B,0),'【別紙1】標高（入力）'!$O$2,4,TRUE,"【別紙1】標高（入力）"))</f>
        <v>2.3431999999999999</v>
      </c>
      <c r="BO42" s="392"/>
    </row>
    <row r="43" spans="1:67" ht="15.95" customHeight="1">
      <c r="A43" s="119">
        <v>228</v>
      </c>
      <c r="B43" s="107" t="s">
        <v>430</v>
      </c>
      <c r="C43" s="114" t="s">
        <v>38</v>
      </c>
      <c r="D43" s="110" t="s">
        <v>654</v>
      </c>
      <c r="E43" s="109" t="s">
        <v>257</v>
      </c>
      <c r="F43" s="111" t="s">
        <v>9</v>
      </c>
      <c r="G43" s="112" t="s">
        <v>73</v>
      </c>
      <c r="H43" s="112" t="s">
        <v>541</v>
      </c>
      <c r="I43" s="112" t="s">
        <v>54</v>
      </c>
      <c r="J43" s="112" t="s">
        <v>270</v>
      </c>
      <c r="K43" s="224"/>
      <c r="L43" s="228"/>
      <c r="M43" s="228"/>
      <c r="N43" s="221"/>
      <c r="O43" s="136" t="s">
        <v>636</v>
      </c>
      <c r="P43" s="127">
        <v>12</v>
      </c>
      <c r="Q43" s="124">
        <v>4.4000000000000004</v>
      </c>
      <c r="R43" s="124">
        <v>3.4</v>
      </c>
      <c r="S43" s="124">
        <v>-3.3</v>
      </c>
      <c r="T43" s="224"/>
      <c r="U43" s="228"/>
      <c r="V43" s="411" t="s">
        <v>47</v>
      </c>
      <c r="W43" s="405" t="s">
        <v>87</v>
      </c>
      <c r="X43" s="224"/>
      <c r="Y43" s="228"/>
      <c r="Z43" s="228"/>
      <c r="AA43" s="228"/>
      <c r="AB43" s="411" t="s">
        <v>47</v>
      </c>
      <c r="AC43" s="135" t="s">
        <v>1273</v>
      </c>
      <c r="AD43" s="122"/>
      <c r="AE43" s="127">
        <v>2.5</v>
      </c>
      <c r="AF43" s="136" t="s">
        <v>1273</v>
      </c>
      <c r="AG43" s="122"/>
      <c r="AH43" s="122">
        <v>2.9</v>
      </c>
      <c r="AI43" s="139" t="s">
        <v>695</v>
      </c>
      <c r="AJ43" s="122"/>
      <c r="AK43" s="122"/>
      <c r="AL43" s="122"/>
      <c r="AM43" s="122"/>
      <c r="AN43" s="122"/>
      <c r="AO43" s="122">
        <v>12.4</v>
      </c>
      <c r="AP43" s="139" t="s">
        <v>525</v>
      </c>
      <c r="AQ43" s="122"/>
      <c r="AR43" s="122">
        <v>7.2999999999998604</v>
      </c>
      <c r="AS43" s="139" t="s">
        <v>1072</v>
      </c>
      <c r="AT43" s="122"/>
      <c r="AU43" s="122"/>
      <c r="AV43" s="122"/>
      <c r="AW43" s="122"/>
      <c r="AX43" s="122">
        <v>5.9</v>
      </c>
      <c r="AY43" s="139" t="s">
        <v>1070</v>
      </c>
      <c r="AZ43" s="122"/>
      <c r="BA43" s="460"/>
      <c r="BB43" s="122"/>
      <c r="BC43" s="122">
        <v>2.5</v>
      </c>
      <c r="BD43" s="125" t="str">
        <f ca="1">INDIRECT(ADDRESS(MATCH($B43,'【別紙1】標高（入力）'!$B:$B,0),'【別紙1】標高（入力）'!AD$2,4,TRUE,"【別紙1】標高（入力）"))</f>
        <v/>
      </c>
      <c r="BE43" s="122" t="str">
        <f ca="1">INDIRECT(ADDRESS(MATCH($B43,'【別紙1】標高（入力）'!$B:$B,0),'【別紙1】標高（入力）'!AE$2,4,TRUE,"【別紙1】標高（入力）"))</f>
        <v/>
      </c>
      <c r="BF43" s="122" t="str">
        <f ca="1">INDIRECT(ADDRESS(MATCH($B43,'【別紙1】標高（入力）'!$B:$B,0),'【別紙1】標高（入力）'!AF$2,4,TRUE,"【別紙1】標高（入力）"))</f>
        <v/>
      </c>
      <c r="BG43" s="122" t="str">
        <f ca="1">INDIRECT(ADDRESS(MATCH($B43,'【別紙1】標高（入力）'!$B:$B,0),'【別紙1】標高（入力）'!AG$2,4,TRUE,"【別紙1】標高（入力）"))</f>
        <v/>
      </c>
      <c r="BH43" s="624" t="str">
        <f ca="1">INDIRECT(ADDRESS(MATCH($B43,'【別紙1】標高（入力）'!$B:$B,0),'【別紙1】標高（入力）'!AH$2,4,TRUE,"【別紙1】標高（入力）"))</f>
        <v/>
      </c>
      <c r="BI43" s="624"/>
      <c r="BJ43" s="624" t="str">
        <f ca="1">INDIRECT(ADDRESS(MATCH($B43,'【別紙1】標高（入力）'!$B:$B,0),'【別紙1】標高（入力）'!AJ$2,4,TRUE,"【別紙1】標高（入力）"))</f>
        <v/>
      </c>
      <c r="BK43" s="598" t="str">
        <f t="shared" ca="1" si="0"/>
        <v>-</v>
      </c>
      <c r="BL43" s="604">
        <f t="shared" ca="1" si="1"/>
        <v>49.999999999999858</v>
      </c>
      <c r="BM43" s="602" t="str">
        <f ca="1">INDIRECT(ADDRESS(MATCH($B43,'【別紙1】標高（入力）'!$B:$B,0),'【別紙1】標高（入力）'!$N$2,4,TRUE,"【別紙1】標高（入力）"))</f>
        <v>H29</v>
      </c>
      <c r="BN43" s="342">
        <f ca="1">INDIRECT(ADDRESS(MATCH($B43,'【別紙1】標高（入力）'!$B:$B,0),'【別紙1】標高（入力）'!$O$2,4,TRUE,"【別紙1】標高（入力）"))</f>
        <v>3.8801000000000001</v>
      </c>
      <c r="BO43" s="392"/>
    </row>
    <row r="44" spans="1:67" ht="15.95" customHeight="1">
      <c r="A44" s="119">
        <v>229</v>
      </c>
      <c r="B44" s="107" t="s">
        <v>431</v>
      </c>
      <c r="C44" s="114" t="s">
        <v>38</v>
      </c>
      <c r="D44" s="110" t="s">
        <v>682</v>
      </c>
      <c r="E44" s="109" t="s">
        <v>89</v>
      </c>
      <c r="F44" s="111" t="s">
        <v>9</v>
      </c>
      <c r="G44" s="112" t="s">
        <v>73</v>
      </c>
      <c r="H44" s="112" t="s">
        <v>541</v>
      </c>
      <c r="I44" s="112" t="s">
        <v>54</v>
      </c>
      <c r="J44" s="112" t="s">
        <v>270</v>
      </c>
      <c r="K44" s="224"/>
      <c r="L44" s="228"/>
      <c r="M44" s="228"/>
      <c r="N44" s="221"/>
      <c r="O44" s="136" t="s">
        <v>636</v>
      </c>
      <c r="P44" s="127">
        <v>14.7</v>
      </c>
      <c r="Q44" s="124">
        <v>19.5</v>
      </c>
      <c r="R44" s="124">
        <v>7.9</v>
      </c>
      <c r="S44" s="124">
        <v>0.4</v>
      </c>
      <c r="T44" s="124">
        <v>39</v>
      </c>
      <c r="U44" s="224"/>
      <c r="V44" s="411" t="s">
        <v>47</v>
      </c>
      <c r="W44" s="405" t="s">
        <v>87</v>
      </c>
      <c r="X44" s="224"/>
      <c r="Y44" s="228"/>
      <c r="Z44" s="228"/>
      <c r="AA44" s="228"/>
      <c r="AB44" s="411" t="s">
        <v>47</v>
      </c>
      <c r="AC44" s="135" t="s">
        <v>1273</v>
      </c>
      <c r="AD44" s="122"/>
      <c r="AE44" s="127">
        <v>13.2</v>
      </c>
      <c r="AF44" s="136" t="s">
        <v>1273</v>
      </c>
      <c r="AG44" s="122"/>
      <c r="AH44" s="122">
        <v>12.5</v>
      </c>
      <c r="AI44" s="139" t="s">
        <v>695</v>
      </c>
      <c r="AJ44" s="122"/>
      <c r="AK44" s="122"/>
      <c r="AL44" s="122"/>
      <c r="AM44" s="122"/>
      <c r="AN44" s="122"/>
      <c r="AO44" s="122">
        <v>27.7</v>
      </c>
      <c r="AP44" s="139" t="s">
        <v>525</v>
      </c>
      <c r="AQ44" s="122"/>
      <c r="AR44" s="122">
        <v>4.8000000000003604</v>
      </c>
      <c r="AS44" s="139" t="s">
        <v>1072</v>
      </c>
      <c r="AT44" s="122"/>
      <c r="AU44" s="122"/>
      <c r="AV44" s="122"/>
      <c r="AW44" s="122"/>
      <c r="AX44" s="122">
        <v>9.6999999999999993</v>
      </c>
      <c r="AY44" s="139" t="s">
        <v>1070</v>
      </c>
      <c r="AZ44" s="122"/>
      <c r="BA44" s="460"/>
      <c r="BB44" s="122"/>
      <c r="BC44" s="122">
        <v>7.4</v>
      </c>
      <c r="BD44" s="125" t="str">
        <f ca="1">INDIRECT(ADDRESS(MATCH($B44,'【別紙1】標高（入力）'!$B:$B,0),'【別紙1】標高（入力）'!AD$2,4,TRUE,"【別紙1】標高（入力）"))</f>
        <v/>
      </c>
      <c r="BE44" s="122" t="str">
        <f ca="1">INDIRECT(ADDRESS(MATCH($B44,'【別紙1】標高（入力）'!$B:$B,0),'【別紙1】標高（入力）'!AE$2,4,TRUE,"【別紙1】標高（入力）"))</f>
        <v/>
      </c>
      <c r="BF44" s="122" t="str">
        <f ca="1">INDIRECT(ADDRESS(MATCH($B44,'【別紙1】標高（入力）'!$B:$B,0),'【別紙1】標高（入力）'!AF$2,4,TRUE,"【別紙1】標高（入力）"))</f>
        <v/>
      </c>
      <c r="BG44" s="122" t="str">
        <f ca="1">INDIRECT(ADDRESS(MATCH($B44,'【別紙1】標高（入力）'!$B:$B,0),'【別紙1】標高（入力）'!AG$2,4,TRUE,"【別紙1】標高（入力）"))</f>
        <v/>
      </c>
      <c r="BH44" s="624" t="str">
        <f ca="1">INDIRECT(ADDRESS(MATCH($B44,'【別紙1】標高（入力）'!$B:$B,0),'【別紙1】標高（入力）'!AH$2,4,TRUE,"【別紙1】標高（入力）"))</f>
        <v/>
      </c>
      <c r="BI44" s="624"/>
      <c r="BJ44" s="624" t="str">
        <f ca="1">INDIRECT(ADDRESS(MATCH($B44,'【別紙1】標高（入力）'!$B:$B,0),'【別紙1】標高（入力）'!AJ$2,4,TRUE,"【別紙1】標高（入力）"))</f>
        <v/>
      </c>
      <c r="BK44" s="598" t="str">
        <f t="shared" ca="1" si="0"/>
        <v>-</v>
      </c>
      <c r="BL44" s="604">
        <f t="shared" ca="1" si="1"/>
        <v>156.80000000000035</v>
      </c>
      <c r="BM44" s="602" t="str">
        <f ca="1">INDIRECT(ADDRESS(MATCH($B44,'【別紙1】標高（入力）'!$B:$B,0),'【別紙1】標高（入力）'!$N$2,4,TRUE,"【別紙1】標高（入力）"))</f>
        <v>H29</v>
      </c>
      <c r="BN44" s="342">
        <f ca="1">INDIRECT(ADDRESS(MATCH($B44,'【別紙1】標高（入力）'!$B:$B,0),'【別紙1】標高（入力）'!$O$2,4,TRUE,"【別紙1】標高（入力）"))</f>
        <v>4.8811999999999998</v>
      </c>
      <c r="BO44" s="392"/>
    </row>
    <row r="45" spans="1:67" ht="15.95" customHeight="1">
      <c r="A45" s="119">
        <v>230</v>
      </c>
      <c r="B45" s="107" t="s">
        <v>432</v>
      </c>
      <c r="C45" s="114" t="s">
        <v>38</v>
      </c>
      <c r="D45" s="110" t="s">
        <v>683</v>
      </c>
      <c r="E45" s="597" t="s">
        <v>1413</v>
      </c>
      <c r="F45" s="111" t="s">
        <v>9</v>
      </c>
      <c r="G45" s="112" t="s">
        <v>31</v>
      </c>
      <c r="H45" s="112" t="s">
        <v>541</v>
      </c>
      <c r="I45" s="112" t="s">
        <v>539</v>
      </c>
      <c r="J45" s="112" t="s">
        <v>270</v>
      </c>
      <c r="K45" s="224"/>
      <c r="L45" s="228"/>
      <c r="M45" s="228"/>
      <c r="N45" s="228"/>
      <c r="O45" s="228"/>
      <c r="P45" s="221"/>
      <c r="Q45" s="124">
        <v>8.1</v>
      </c>
      <c r="R45" s="124">
        <v>7.2</v>
      </c>
      <c r="S45" s="124">
        <v>16.2</v>
      </c>
      <c r="T45" s="124">
        <v>15.5</v>
      </c>
      <c r="U45" s="124">
        <v>-3.1</v>
      </c>
      <c r="V45" s="124">
        <v>9.1999999999999993</v>
      </c>
      <c r="W45" s="136" t="s">
        <v>679</v>
      </c>
      <c r="X45" s="122"/>
      <c r="Y45" s="122"/>
      <c r="Z45" s="122"/>
      <c r="AA45" s="122"/>
      <c r="AB45" s="127">
        <v>12.8</v>
      </c>
      <c r="AC45" s="136" t="s">
        <v>1273</v>
      </c>
      <c r="AD45" s="122"/>
      <c r="AE45" s="127">
        <v>3.9</v>
      </c>
      <c r="AF45" s="136" t="s">
        <v>1273</v>
      </c>
      <c r="AG45" s="122"/>
      <c r="AH45" s="122">
        <v>7</v>
      </c>
      <c r="AI45" s="139" t="s">
        <v>695</v>
      </c>
      <c r="AJ45" s="122"/>
      <c r="AK45" s="122"/>
      <c r="AL45" s="122"/>
      <c r="AM45" s="122"/>
      <c r="AN45" s="122"/>
      <c r="AO45" s="122">
        <v>16.5</v>
      </c>
      <c r="AP45" s="139" t="s">
        <v>525</v>
      </c>
      <c r="AQ45" s="122"/>
      <c r="AR45" s="122">
        <v>1.9000000000000099</v>
      </c>
      <c r="AS45" s="126">
        <v>0.7</v>
      </c>
      <c r="AT45" s="139" t="s">
        <v>1070</v>
      </c>
      <c r="AU45" s="122"/>
      <c r="AV45" s="122"/>
      <c r="AW45" s="122"/>
      <c r="AX45" s="122">
        <v>7.1</v>
      </c>
      <c r="AY45" s="139" t="s">
        <v>1069</v>
      </c>
      <c r="AZ45" s="121">
        <v>-0.3</v>
      </c>
      <c r="BA45" s="463" t="s">
        <v>1068</v>
      </c>
      <c r="BB45" s="122"/>
      <c r="BC45" s="122">
        <v>3.4</v>
      </c>
      <c r="BD45" s="139" t="s">
        <v>1069</v>
      </c>
      <c r="BE45" s="121">
        <f ca="1">INDIRECT(ADDRESS(MATCH($B45,'【別紙1】標高（入力）'!$B:$B,0),'【別紙1】標高（入力）'!AE$2,4,TRUE,"【別紙1】標高（入力）"))</f>
        <v>0.19999999999997797</v>
      </c>
      <c r="BF45" s="122" t="str">
        <f ca="1">INDIRECT(ADDRESS(MATCH($B45,'【別紙1】標高（入力）'!$B:$B,0),'【別紙1】標高（入力）'!AF$2,4,TRUE,"【別紙1】標高（入力）"))</f>
        <v/>
      </c>
      <c r="BG45" s="122" t="str">
        <f ca="1">INDIRECT(ADDRESS(MATCH($B45,'【別紙1】標高（入力）'!$B:$B,0),'【別紙1】標高（入力）'!AG$2,4,TRUE,"【別紙1】標高（入力）"))</f>
        <v/>
      </c>
      <c r="BH45" s="122" t="str">
        <f ca="1">INDIRECT(ADDRESS(MATCH($B45,'【別紙1】標高（入力）'!$B:$B,0),'【別紙1】標高（入力）'!AH$2,4,TRUE,"【別紙1】標高（入力）"))</f>
        <v/>
      </c>
      <c r="BI45" s="624"/>
      <c r="BJ45" s="624" t="str">
        <f ca="1">INDIRECT(ADDRESS(MATCH($B45,'【別紙1】標高（入力）'!$B:$B,0),'【別紙1】標高（入力）'!AJ$2,4,TRUE,"【別紙1】標高（入力）"))</f>
        <v/>
      </c>
      <c r="BK45" s="598" t="str">
        <f t="shared" ref="BK45:BK46" ca="1" si="10">IF(AND(ISNUMBER(BI45)*1,ISNUMBER(BH45)*1),BI45,"-")</f>
        <v>-</v>
      </c>
      <c r="BL45" s="604">
        <f t="shared" ref="BL45:BL46" ca="1" si="11">SUM(K45:BI45)</f>
        <v>106.29999999999998</v>
      </c>
      <c r="BM45" s="600" t="str">
        <f ca="1">INDIRECT(ADDRESS(MATCH($B45,'【別紙1】標高（入力）'!$B:$B,0),'【別紙1】標高（入力）'!$N$2,4,TRUE,"【別紙1】標高（入力）"))</f>
        <v>R1</v>
      </c>
      <c r="BN45" s="342">
        <f ca="1">INDIRECT(ADDRESS(MATCH($B45,'【別紙1】標高（入力）'!$B:$B,0),'【別紙1】標高（入力）'!$O$2,4,TRUE,"【別紙1】標高（入力）"))</f>
        <v>3.0802</v>
      </c>
      <c r="BO45" s="392"/>
    </row>
    <row r="46" spans="1:67" ht="15.95" customHeight="1">
      <c r="A46" s="119">
        <v>231</v>
      </c>
      <c r="B46" s="107" t="s">
        <v>598</v>
      </c>
      <c r="C46" s="114" t="s">
        <v>38</v>
      </c>
      <c r="D46" s="110" t="s">
        <v>324</v>
      </c>
      <c r="E46" s="597" t="s">
        <v>1414</v>
      </c>
      <c r="F46" s="111" t="s">
        <v>9</v>
      </c>
      <c r="G46" s="112" t="s">
        <v>31</v>
      </c>
      <c r="H46" s="112" t="s">
        <v>64</v>
      </c>
      <c r="I46" s="112" t="s">
        <v>54</v>
      </c>
      <c r="J46" s="112" t="s">
        <v>270</v>
      </c>
      <c r="K46" s="224"/>
      <c r="L46" s="228"/>
      <c r="M46" s="228"/>
      <c r="N46" s="228"/>
      <c r="O46" s="228"/>
      <c r="P46" s="228"/>
      <c r="Q46" s="411" t="s">
        <v>1270</v>
      </c>
      <c r="R46" s="127">
        <v>14.3</v>
      </c>
      <c r="S46" s="123">
        <v>7.4</v>
      </c>
      <c r="T46" s="411" t="s">
        <v>1270</v>
      </c>
      <c r="U46" s="135" t="s">
        <v>93</v>
      </c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1">
        <v>250.2</v>
      </c>
      <c r="AI46" s="139" t="s">
        <v>695</v>
      </c>
      <c r="AJ46" s="122"/>
      <c r="AK46" s="122"/>
      <c r="AL46" s="122"/>
      <c r="AM46" s="122"/>
      <c r="AN46" s="122"/>
      <c r="AO46" s="122">
        <v>82.2</v>
      </c>
      <c r="AP46" s="139" t="s">
        <v>1071</v>
      </c>
      <c r="AQ46" s="122"/>
      <c r="AR46" s="122"/>
      <c r="AS46" s="121">
        <v>118.9</v>
      </c>
      <c r="AT46" s="122">
        <v>44</v>
      </c>
      <c r="AU46" s="125">
        <v>19.2</v>
      </c>
      <c r="AV46" s="125">
        <v>6.6</v>
      </c>
      <c r="AW46" s="139" t="s">
        <v>1069</v>
      </c>
      <c r="AX46" s="122">
        <v>14.7</v>
      </c>
      <c r="AY46" s="139" t="s">
        <v>1069</v>
      </c>
      <c r="AZ46" s="121">
        <v>15.4</v>
      </c>
      <c r="BA46" s="463" t="s">
        <v>1068</v>
      </c>
      <c r="BB46" s="122"/>
      <c r="BC46" s="122">
        <v>9.1</v>
      </c>
      <c r="BD46" s="139" t="s">
        <v>1069</v>
      </c>
      <c r="BE46" s="121">
        <f ca="1">INDIRECT(ADDRESS(MATCH($B46,'【別紙1】標高（入力）'!$B:$B,0),'【別紙1】標高（入力）'!AE$2,4,TRUE,"【別紙1】標高（入力）"))</f>
        <v>9.2999999999996419</v>
      </c>
      <c r="BF46" s="122" t="str">
        <f ca="1">INDIRECT(ADDRESS(MATCH($B46,'【別紙1】標高（入力）'!$B:$B,0),'【別紙1】標高（入力）'!AF$2,4,TRUE,"【別紙1】標高（入力）"))</f>
        <v/>
      </c>
      <c r="BG46" s="122" t="str">
        <f ca="1">INDIRECT(ADDRESS(MATCH($B46,'【別紙1】標高（入力）'!$B:$B,0),'【別紙1】標高（入力）'!AG$2,4,TRUE,"【別紙1】標高（入力）"))</f>
        <v/>
      </c>
      <c r="BH46" s="122" t="str">
        <f ca="1">INDIRECT(ADDRESS(MATCH($B46,'【別紙1】標高（入力）'!$B:$B,0),'【別紙1】標高（入力）'!AH$2,4,TRUE,"【別紙1】標高（入力）"))</f>
        <v/>
      </c>
      <c r="BI46" s="624"/>
      <c r="BJ46" s="624" t="str">
        <f ca="1">INDIRECT(ADDRESS(MATCH($B46,'【別紙1】標高（入力）'!$B:$B,0),'【別紙1】標高（入力）'!AJ$2,4,TRUE,"【別紙1】標高（入力）"))</f>
        <v/>
      </c>
      <c r="BK46" s="598" t="str">
        <f t="shared" ca="1" si="10"/>
        <v>-</v>
      </c>
      <c r="BL46" s="604">
        <f t="shared" ca="1" si="11"/>
        <v>591.29999999999973</v>
      </c>
      <c r="BM46" s="600" t="str">
        <f ca="1">INDIRECT(ADDRESS(MATCH($B46,'【別紙1】標高（入力）'!$B:$B,0),'【別紙1】標高（入力）'!$N$2,4,TRUE,"【別紙1】標高（入力）"))</f>
        <v>R1</v>
      </c>
      <c r="BN46" s="340">
        <f ca="1">INDIRECT(ADDRESS(MATCH($B46,'【別紙1】標高（入力）'!$B:$B,0),'【別紙1】標高（入力）'!$O$2,4,TRUE,"【別紙1】標高（入力）"))</f>
        <v>5.2644000000000002</v>
      </c>
      <c r="BO46" s="392"/>
    </row>
    <row r="47" spans="1:67" s="231" customFormat="1" ht="15.95" customHeight="1">
      <c r="A47" s="214">
        <v>232</v>
      </c>
      <c r="B47" s="215" t="s">
        <v>433</v>
      </c>
      <c r="C47" s="216" t="s">
        <v>38</v>
      </c>
      <c r="D47" s="217" t="s">
        <v>327</v>
      </c>
      <c r="E47" s="218" t="s">
        <v>299</v>
      </c>
      <c r="F47" s="219" t="s">
        <v>9</v>
      </c>
      <c r="G47" s="220" t="s">
        <v>31</v>
      </c>
      <c r="H47" s="220" t="s">
        <v>64</v>
      </c>
      <c r="I47" s="220" t="s">
        <v>539</v>
      </c>
      <c r="J47" s="220" t="s">
        <v>270</v>
      </c>
      <c r="K47" s="224"/>
      <c r="L47" s="228"/>
      <c r="M47" s="228"/>
      <c r="N47" s="228"/>
      <c r="O47" s="228"/>
      <c r="P47" s="221"/>
      <c r="Q47" s="124">
        <v>48.6</v>
      </c>
      <c r="R47" s="124">
        <v>12.4</v>
      </c>
      <c r="S47" s="124">
        <v>8.9</v>
      </c>
      <c r="T47" s="124">
        <v>20.6</v>
      </c>
      <c r="U47" s="124">
        <v>0.2</v>
      </c>
      <c r="V47" s="124">
        <v>27.2</v>
      </c>
      <c r="W47" s="224"/>
      <c r="X47" s="228"/>
      <c r="Y47" s="228"/>
      <c r="Z47" s="228"/>
      <c r="AA47" s="228"/>
      <c r="AB47" s="228"/>
      <c r="AC47" s="228"/>
      <c r="AD47" s="228"/>
      <c r="AE47" s="228"/>
      <c r="AF47" s="411" t="s">
        <v>1271</v>
      </c>
      <c r="AG47" s="228"/>
      <c r="AH47" s="228"/>
      <c r="AI47" s="232" t="s">
        <v>247</v>
      </c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462"/>
      <c r="BB47" s="228"/>
      <c r="BC47" s="228"/>
      <c r="BD47" s="228"/>
      <c r="BE47" s="228"/>
      <c r="BF47" s="228"/>
      <c r="BG47" s="228"/>
      <c r="BH47" s="625"/>
      <c r="BI47" s="625"/>
      <c r="BJ47" s="625" t="str">
        <f ca="1">INDIRECT(ADDRESS(MATCH($B47,'【別紙1】標高（入力）'!$B:$B,0),'【別紙1】標高（入力）'!AJ$2,4,TRUE,"【別紙1】標高（入力）"))</f>
        <v/>
      </c>
      <c r="BK47" s="599" t="str">
        <f t="shared" si="0"/>
        <v>-</v>
      </c>
      <c r="BL47" s="605">
        <f t="shared" si="1"/>
        <v>117.9</v>
      </c>
      <c r="BM47" s="603" t="s">
        <v>529</v>
      </c>
      <c r="BN47" s="344" t="s">
        <v>529</v>
      </c>
      <c r="BO47" s="393" t="s">
        <v>730</v>
      </c>
    </row>
    <row r="48" spans="1:67" ht="15.95" customHeight="1">
      <c r="A48" s="119">
        <v>233</v>
      </c>
      <c r="B48" s="107" t="s">
        <v>434</v>
      </c>
      <c r="C48" s="114" t="s">
        <v>38</v>
      </c>
      <c r="D48" s="110" t="s">
        <v>327</v>
      </c>
      <c r="E48" s="109" t="s">
        <v>299</v>
      </c>
      <c r="F48" s="111" t="s">
        <v>9</v>
      </c>
      <c r="G48" s="112" t="s">
        <v>31</v>
      </c>
      <c r="H48" s="112" t="s">
        <v>64</v>
      </c>
      <c r="I48" s="112" t="s">
        <v>54</v>
      </c>
      <c r="J48" s="112" t="s">
        <v>270</v>
      </c>
      <c r="K48" s="224"/>
      <c r="L48" s="228"/>
      <c r="M48" s="228"/>
      <c r="N48" s="228"/>
      <c r="O48" s="228"/>
      <c r="P48" s="221"/>
      <c r="Q48" s="124">
        <v>20.399999999999999</v>
      </c>
      <c r="R48" s="124">
        <v>0.8</v>
      </c>
      <c r="S48" s="124">
        <v>4.9000000000000004</v>
      </c>
      <c r="T48" s="124">
        <v>5.9</v>
      </c>
      <c r="U48" s="124">
        <v>-5.6</v>
      </c>
      <c r="V48" s="124">
        <v>47.6</v>
      </c>
      <c r="W48" s="136" t="s">
        <v>95</v>
      </c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1">
        <v>61.9</v>
      </c>
      <c r="AI48" s="139" t="s">
        <v>695</v>
      </c>
      <c r="AJ48" s="122"/>
      <c r="AK48" s="122"/>
      <c r="AL48" s="122"/>
      <c r="AM48" s="122"/>
      <c r="AN48" s="122"/>
      <c r="AO48" s="122">
        <v>25.8</v>
      </c>
      <c r="AP48" s="139" t="s">
        <v>525</v>
      </c>
      <c r="AQ48" s="122"/>
      <c r="AR48" s="122">
        <v>6.0999999999999899</v>
      </c>
      <c r="AS48" s="126">
        <v>3</v>
      </c>
      <c r="AT48" s="139" t="s">
        <v>1070</v>
      </c>
      <c r="AU48" s="122"/>
      <c r="AV48" s="122"/>
      <c r="AW48" s="122"/>
      <c r="AX48" s="121">
        <v>12.9</v>
      </c>
      <c r="AY48" s="139" t="s">
        <v>1069</v>
      </c>
      <c r="AZ48" s="121">
        <v>0.7</v>
      </c>
      <c r="BA48" s="463" t="s">
        <v>1068</v>
      </c>
      <c r="BB48" s="122"/>
      <c r="BC48" s="122">
        <v>4</v>
      </c>
      <c r="BD48" s="139" t="s">
        <v>1069</v>
      </c>
      <c r="BE48" s="121">
        <f ca="1">INDIRECT(ADDRESS(MATCH($B48,'【別紙1】標高（入力）'!$B:$B,0),'【別紙1】標高（入力）'!AE$2,4,TRUE,"【別紙1】標高（入力）"))</f>
        <v>1.7999999999998018</v>
      </c>
      <c r="BF48" s="122" t="str">
        <f ca="1">INDIRECT(ADDRESS(MATCH($B48,'【別紙1】標高（入力）'!$B:$B,0),'【別紙1】標高（入力）'!AF$2,4,TRUE,"【別紙1】標高（入力）"))</f>
        <v/>
      </c>
      <c r="BG48" s="122" t="str">
        <f ca="1">INDIRECT(ADDRESS(MATCH($B48,'【別紙1】標高（入力）'!$B:$B,0),'【別紙1】標高（入力）'!AG$2,4,TRUE,"【別紙1】標高（入力）"))</f>
        <v/>
      </c>
      <c r="BH48" s="122" t="str">
        <f ca="1">INDIRECT(ADDRESS(MATCH($B48,'【別紙1】標高（入力）'!$B:$B,0),'【別紙1】標高（入力）'!AH$2,4,TRUE,"【別紙1】標高（入力）"))</f>
        <v/>
      </c>
      <c r="BI48" s="624"/>
      <c r="BJ48" s="624" t="str">
        <f ca="1">INDIRECT(ADDRESS(MATCH($B48,'【別紙1】標高（入力）'!$B:$B,0),'【別紙1】標高（入力）'!AJ$2,4,TRUE,"【別紙1】標高（入力）"))</f>
        <v/>
      </c>
      <c r="BK48" s="598" t="str">
        <f t="shared" ref="BK48:BK50" ca="1" si="12">IF(AND(ISNUMBER(BI48)*1,ISNUMBER(BH48)*1),BI48,"-")</f>
        <v>-</v>
      </c>
      <c r="BL48" s="604">
        <f t="shared" ref="BL48:BL50" ca="1" si="13">SUM(K48:BI48)</f>
        <v>190.19999999999982</v>
      </c>
      <c r="BM48" s="600" t="str">
        <f ca="1">INDIRECT(ADDRESS(MATCH($B48,'【別紙1】標高（入力）'!$B:$B,0),'【別紙1】標高（入力）'!$N$2,4,TRUE,"【別紙1】標高（入力）"))</f>
        <v>R1</v>
      </c>
      <c r="BN48" s="342">
        <f ca="1">INDIRECT(ADDRESS(MATCH($B48,'【別紙1】標高（入力）'!$B:$B,0),'【別紙1】標高（入力）'!$O$2,4,TRUE,"【別紙1】標高（入力）"))</f>
        <v>3.5861000000000001</v>
      </c>
      <c r="BO48" s="392"/>
    </row>
    <row r="49" spans="1:67" ht="15.95" customHeight="1">
      <c r="A49" s="119">
        <v>301</v>
      </c>
      <c r="B49" s="591">
        <v>8413</v>
      </c>
      <c r="C49" s="114" t="s">
        <v>96</v>
      </c>
      <c r="D49" s="110" t="s">
        <v>558</v>
      </c>
      <c r="E49" s="597" t="s">
        <v>1415</v>
      </c>
      <c r="F49" s="111" t="s">
        <v>12</v>
      </c>
      <c r="G49" s="112" t="s">
        <v>19</v>
      </c>
      <c r="H49" s="112" t="s">
        <v>541</v>
      </c>
      <c r="I49" s="112" t="s">
        <v>284</v>
      </c>
      <c r="J49" s="112" t="s">
        <v>264</v>
      </c>
      <c r="K49" s="222"/>
      <c r="L49" s="136" t="s">
        <v>636</v>
      </c>
      <c r="M49" s="127">
        <v>34.1</v>
      </c>
      <c r="N49" s="124">
        <v>-3.4</v>
      </c>
      <c r="O49" s="124">
        <v>6.7</v>
      </c>
      <c r="P49" s="124">
        <v>10.199999999999999</v>
      </c>
      <c r="Q49" s="124">
        <v>8.3000000000000007</v>
      </c>
      <c r="R49" s="124">
        <v>3</v>
      </c>
      <c r="S49" s="124">
        <v>-6.1</v>
      </c>
      <c r="T49" s="124">
        <v>4.0999999999999996</v>
      </c>
      <c r="U49" s="124">
        <v>2.9</v>
      </c>
      <c r="V49" s="124">
        <v>5</v>
      </c>
      <c r="W49" s="124">
        <v>21.5</v>
      </c>
      <c r="X49" s="124">
        <v>1</v>
      </c>
      <c r="Y49" s="124">
        <v>-8.6999999999999993</v>
      </c>
      <c r="Z49" s="124">
        <v>4.5999999999999996</v>
      </c>
      <c r="AA49" s="124">
        <v>5</v>
      </c>
      <c r="AB49" s="124">
        <v>-2.8</v>
      </c>
      <c r="AC49" s="124">
        <v>8.9</v>
      </c>
      <c r="AD49" s="124">
        <v>-2.2000000000000002</v>
      </c>
      <c r="AE49" s="124">
        <v>-3.1</v>
      </c>
      <c r="AF49" s="124">
        <v>4.2</v>
      </c>
      <c r="AG49" s="124">
        <v>5.4</v>
      </c>
      <c r="AH49" s="123">
        <v>-5.3</v>
      </c>
      <c r="AI49" s="126">
        <v>8.6999999999999993</v>
      </c>
      <c r="AJ49" s="128">
        <v>2.9</v>
      </c>
      <c r="AK49" s="128">
        <v>-1.9</v>
      </c>
      <c r="AL49" s="124">
        <v>4.2</v>
      </c>
      <c r="AM49" s="123">
        <v>1.7999999999993599</v>
      </c>
      <c r="AN49" s="124">
        <v>-7.2</v>
      </c>
      <c r="AO49" s="122">
        <v>7.5</v>
      </c>
      <c r="AP49" s="126">
        <v>4.5999999999999996</v>
      </c>
      <c r="AQ49" s="135" t="s">
        <v>637</v>
      </c>
      <c r="AR49" s="122">
        <v>34.000000000000703</v>
      </c>
      <c r="AS49" s="126">
        <v>3.7</v>
      </c>
      <c r="AT49" s="125">
        <v>3.7</v>
      </c>
      <c r="AU49" s="125">
        <v>-4.3</v>
      </c>
      <c r="AV49" s="125">
        <v>0.8</v>
      </c>
      <c r="AW49" s="125">
        <v>2.2000000000000002</v>
      </c>
      <c r="AX49" s="125">
        <v>3.2</v>
      </c>
      <c r="AY49" s="125">
        <v>-1.9</v>
      </c>
      <c r="AZ49" s="126">
        <v>0.8</v>
      </c>
      <c r="BA49" s="461">
        <v>-0.1</v>
      </c>
      <c r="BB49" s="135" t="s">
        <v>1069</v>
      </c>
      <c r="BC49" s="122">
        <v>0</v>
      </c>
      <c r="BD49" s="125">
        <f ca="1">INDIRECT(ADDRESS(MATCH($B49,'【別紙1】標高（入力）'!$B:$B,0),'【別紙1】標高（入力）'!AD$2,4,TRUE,"【別紙1】標高（入力）"))</f>
        <v>2.3999999999997357</v>
      </c>
      <c r="BE49" s="126">
        <f ca="1">INDIRECT(ADDRESS(MATCH($B49,'【別紙1】標高（入力）'!$B:$B,0),'【別紙1】標高（入力）'!AE$2,4,TRUE,"【別紙1】標高（入力）"))</f>
        <v>3.2999999999994145</v>
      </c>
      <c r="BF49" s="121">
        <f ca="1">INDIRECT(ADDRESS(MATCH($B49,'【別紙1】標高（入力）'!$B:$B,0),'【別紙1】標高（入力）'!AF$2,4,TRUE,"【別紙1】標高（入力）"))</f>
        <v>0.89999999999967883</v>
      </c>
      <c r="BG49" s="122" t="str">
        <f ca="1">INDIRECT(ADDRESS(MATCH($B49,'【別紙1】標高（入力）'!$B:$B,0),'【別紙1】標高（入力）'!AG$2,4,TRUE,"【別紙1】標高（入力）"))</f>
        <v/>
      </c>
      <c r="BH49" s="122" t="str">
        <f ca="1">INDIRECT(ADDRESS(MATCH($B49,'【別紙1】標高（入力）'!$B:$B,0),'【別紙1】標高（入力）'!AH$2,4,TRUE,"【別紙1】標高（入力）"))</f>
        <v/>
      </c>
      <c r="BI49" s="624"/>
      <c r="BJ49" s="624" t="str">
        <f ca="1">INDIRECT(ADDRESS(MATCH($B49,'【別紙1】標高（入力）'!$B:$B,0),'【別紙1】標高（入力）'!AJ$2,4,TRUE,"【別紙1】標高（入力）"))</f>
        <v/>
      </c>
      <c r="BK49" s="598" t="str">
        <f t="shared" ca="1" si="12"/>
        <v>-</v>
      </c>
      <c r="BL49" s="604">
        <f t="shared" ca="1" si="13"/>
        <v>162.59999999999889</v>
      </c>
      <c r="BM49" s="600" t="str">
        <f ca="1">INDIRECT(ADDRESS(MATCH($B49,'【別紙1】標高（入力）'!$B:$B,0),'【別紙1】標高（入力）'!$N$2,4,TRUE,"【別紙1】標高（入力）"))</f>
        <v>R2</v>
      </c>
      <c r="BN49" s="342">
        <f ca="1">INDIRECT(ADDRESS(MATCH($B49,'【別紙1】標高（入力）'!$B:$B,0),'【別紙1】標高（入力）'!$O$2,4,TRUE,"【別紙1】標高（入力）"))</f>
        <v>13.252000000000001</v>
      </c>
      <c r="BO49" s="392"/>
    </row>
    <row r="50" spans="1:67" ht="15.95" customHeight="1">
      <c r="A50" s="119">
        <v>302</v>
      </c>
      <c r="B50" s="591">
        <v>8414</v>
      </c>
      <c r="C50" s="114" t="s">
        <v>96</v>
      </c>
      <c r="D50" s="110" t="s">
        <v>569</v>
      </c>
      <c r="E50" s="109" t="s">
        <v>99</v>
      </c>
      <c r="F50" s="111" t="s">
        <v>12</v>
      </c>
      <c r="G50" s="112" t="s">
        <v>73</v>
      </c>
      <c r="H50" s="112" t="s">
        <v>541</v>
      </c>
      <c r="I50" s="112" t="s">
        <v>539</v>
      </c>
      <c r="J50" s="112" t="s">
        <v>264</v>
      </c>
      <c r="K50" s="224"/>
      <c r="L50" s="228"/>
      <c r="M50" s="228"/>
      <c r="N50" s="221"/>
      <c r="O50" s="136" t="s">
        <v>636</v>
      </c>
      <c r="P50" s="127">
        <v>31.8</v>
      </c>
      <c r="Q50" s="124">
        <v>22.8</v>
      </c>
      <c r="R50" s="124">
        <v>13.6</v>
      </c>
      <c r="S50" s="124">
        <v>-11.2</v>
      </c>
      <c r="T50" s="124">
        <v>18</v>
      </c>
      <c r="U50" s="124">
        <v>17.600000000000001</v>
      </c>
      <c r="V50" s="124">
        <v>65.2</v>
      </c>
      <c r="W50" s="124">
        <v>35.200000000000003</v>
      </c>
      <c r="X50" s="124">
        <v>-0.8</v>
      </c>
      <c r="Y50" s="124">
        <v>-5.2</v>
      </c>
      <c r="Z50" s="136" t="s">
        <v>1273</v>
      </c>
      <c r="AA50" s="122"/>
      <c r="AB50" s="127">
        <v>13</v>
      </c>
      <c r="AC50" s="124">
        <v>22.6</v>
      </c>
      <c r="AD50" s="124">
        <v>-2.8</v>
      </c>
      <c r="AE50" s="124">
        <v>-0.7</v>
      </c>
      <c r="AF50" s="124">
        <v>6.3</v>
      </c>
      <c r="AG50" s="124">
        <v>7</v>
      </c>
      <c r="AH50" s="123">
        <v>-2.2000000000000002</v>
      </c>
      <c r="AI50" s="396">
        <v>13.5</v>
      </c>
      <c r="AJ50" s="124">
        <v>2.7</v>
      </c>
      <c r="AK50" s="124">
        <v>4.8</v>
      </c>
      <c r="AL50" s="124">
        <v>1.9</v>
      </c>
      <c r="AM50" s="123">
        <v>4.7999999999994696</v>
      </c>
      <c r="AN50" s="124">
        <v>-6.1</v>
      </c>
      <c r="AO50" s="122">
        <v>11.7</v>
      </c>
      <c r="AP50" s="126">
        <v>16.2</v>
      </c>
      <c r="AQ50" s="122">
        <v>1.3</v>
      </c>
      <c r="AR50" s="125">
        <v>6.4</v>
      </c>
      <c r="AS50" s="139" t="s">
        <v>1071</v>
      </c>
      <c r="AT50" s="122"/>
      <c r="AU50" s="122"/>
      <c r="AV50" s="122">
        <v>13.2</v>
      </c>
      <c r="AW50" s="125">
        <v>-1</v>
      </c>
      <c r="AX50" s="125">
        <v>7.2</v>
      </c>
      <c r="AY50" s="125">
        <v>-2.5</v>
      </c>
      <c r="AZ50" s="139" t="s">
        <v>1071</v>
      </c>
      <c r="BA50" s="460"/>
      <c r="BB50" s="122"/>
      <c r="BC50" s="122">
        <v>4</v>
      </c>
      <c r="BD50" s="125">
        <f ca="1">INDIRECT(ADDRESS(MATCH($B50,'【別紙1】標高（入力）'!$B:$B,0),'【別紙1】標高（入力）'!AD$2,4,TRUE,"【別紙1】標高（入力）"))</f>
        <v>3.3999999999991815</v>
      </c>
      <c r="BE50" s="125" t="str">
        <f ca="1">INDIRECT(ADDRESS(MATCH($B50,'【別紙1】標高（入力）'!$B:$B,0),'【別紙1】標高（入力）'!AE$2,4,TRUE,"【別紙1】標高（入力）"))</f>
        <v/>
      </c>
      <c r="BF50" s="122" t="str">
        <f ca="1">INDIRECT(ADDRESS(MATCH($B50,'【別紙1】標高（入力）'!$B:$B,0),'【別紙1】標高（入力）'!AF$2,4,TRUE,"【別紙1】標高（入力）"))</f>
        <v/>
      </c>
      <c r="BG50" s="122" t="str">
        <f ca="1">INDIRECT(ADDRESS(MATCH($B50,'【別紙1】標高（入力）'!$B:$B,0),'【別紙1】標高（入力）'!AG$2,4,TRUE,"【別紙1】標高（入力）"))</f>
        <v/>
      </c>
      <c r="BH50" s="122" t="str">
        <f ca="1">INDIRECT(ADDRESS(MATCH($B50,'【別紙1】標高（入力）'!$B:$B,0),'【別紙1】標高（入力）'!AH$2,4,TRUE,"【別紙1】標高（入力）"))</f>
        <v/>
      </c>
      <c r="BI50" s="624"/>
      <c r="BJ50" s="624" t="str">
        <f ca="1">INDIRECT(ADDRESS(MATCH($B50,'【別紙1】標高（入力）'!$B:$B,0),'【別紙1】標高（入力）'!AJ$2,4,TRUE,"【別紙1】標高（入力）"))</f>
        <v/>
      </c>
      <c r="BK50" s="598" t="str">
        <f t="shared" ca="1" si="12"/>
        <v>-</v>
      </c>
      <c r="BL50" s="604">
        <f t="shared" ca="1" si="13"/>
        <v>311.69999999999862</v>
      </c>
      <c r="BM50" s="602" t="str">
        <f ca="1">INDIRECT(ADDRESS(MATCH($B50,'【別紙1】標高（入力）'!$B:$B,0),'【別紙1】標高（入力）'!$N$2,4,TRUE,"【別紙1】標高（入力）"))</f>
        <v>H30</v>
      </c>
      <c r="BN50" s="342">
        <f ca="1">INDIRECT(ADDRESS(MATCH($B50,'【別紙1】標高（入力）'!$B:$B,0),'【別紙1】標高（入力）'!$O$2,4,TRUE,"【別紙1】標高（入力）"))</f>
        <v>8.8207000000000004</v>
      </c>
      <c r="BO50" s="392"/>
    </row>
    <row r="51" spans="1:67" ht="15.95" customHeight="1">
      <c r="A51" s="119">
        <v>303</v>
      </c>
      <c r="B51" s="107" t="s">
        <v>403</v>
      </c>
      <c r="C51" s="114" t="s">
        <v>96</v>
      </c>
      <c r="D51" s="110" t="s">
        <v>100</v>
      </c>
      <c r="E51" s="597" t="s">
        <v>1416</v>
      </c>
      <c r="F51" s="111" t="s">
        <v>9</v>
      </c>
      <c r="G51" s="112" t="s">
        <v>10</v>
      </c>
      <c r="H51" s="112" t="s">
        <v>541</v>
      </c>
      <c r="I51" s="112" t="s">
        <v>539</v>
      </c>
      <c r="J51" s="112" t="s">
        <v>270</v>
      </c>
      <c r="K51" s="224"/>
      <c r="L51" s="228"/>
      <c r="M51" s="221"/>
      <c r="N51" s="124">
        <v>18</v>
      </c>
      <c r="O51" s="124">
        <v>2.8</v>
      </c>
      <c r="P51" s="124">
        <v>15.8</v>
      </c>
      <c r="Q51" s="124">
        <v>15</v>
      </c>
      <c r="R51" s="124">
        <v>5</v>
      </c>
      <c r="S51" s="124">
        <v>-2.5</v>
      </c>
      <c r="T51" s="124">
        <v>10.3</v>
      </c>
      <c r="U51" s="124">
        <v>3.3</v>
      </c>
      <c r="V51" s="124">
        <v>15.1</v>
      </c>
      <c r="W51" s="124">
        <v>31.9</v>
      </c>
      <c r="X51" s="124">
        <v>2.7</v>
      </c>
      <c r="Y51" s="124">
        <v>-7.8</v>
      </c>
      <c r="Z51" s="124">
        <v>5.9</v>
      </c>
      <c r="AA51" s="124">
        <v>6.3</v>
      </c>
      <c r="AB51" s="124">
        <v>-2.2000000000000002</v>
      </c>
      <c r="AC51" s="124">
        <v>10.5</v>
      </c>
      <c r="AD51" s="124">
        <v>-3</v>
      </c>
      <c r="AE51" s="124">
        <v>-1</v>
      </c>
      <c r="AF51" s="124">
        <v>6.8</v>
      </c>
      <c r="AG51" s="124">
        <v>5.0999999999999996</v>
      </c>
      <c r="AH51" s="123">
        <v>-4.8</v>
      </c>
      <c r="AI51" s="396">
        <v>10.199999999999999</v>
      </c>
      <c r="AJ51" s="124">
        <v>-1.9</v>
      </c>
      <c r="AK51" s="124">
        <v>0.3</v>
      </c>
      <c r="AL51" s="123">
        <v>3.9</v>
      </c>
      <c r="AM51" s="123">
        <v>4.3000000000006402</v>
      </c>
      <c r="AN51" s="124">
        <v>-7.4</v>
      </c>
      <c r="AO51" s="122">
        <v>9.6999999999999993</v>
      </c>
      <c r="AP51" s="126">
        <v>4.4000000000000004</v>
      </c>
      <c r="AQ51" s="135" t="s">
        <v>637</v>
      </c>
      <c r="AR51" s="122">
        <v>1.80000000000113</v>
      </c>
      <c r="AS51" s="139" t="s">
        <v>1068</v>
      </c>
      <c r="AT51" s="122"/>
      <c r="AU51" s="122">
        <v>0.5</v>
      </c>
      <c r="AV51" s="126">
        <v>2.4</v>
      </c>
      <c r="AW51" s="125">
        <v>-2.2000000000000002</v>
      </c>
      <c r="AX51" s="125">
        <v>7.4</v>
      </c>
      <c r="AY51" s="139" t="s">
        <v>1070</v>
      </c>
      <c r="AZ51" s="122"/>
      <c r="BA51" s="460"/>
      <c r="BB51" s="122"/>
      <c r="BC51" s="122">
        <v>2.1</v>
      </c>
      <c r="BD51" s="139" t="s">
        <v>1505</v>
      </c>
      <c r="BE51" s="122" t="str">
        <f ca="1">INDIRECT(ADDRESS(MATCH($B51,'【別紙1】標高（入力）'!$B:$B,0),'【別紙1】標高（入力）'!AE$2,4,TRUE,"【別紙1】標高（入力）"))</f>
        <v/>
      </c>
      <c r="BF51" s="122" t="str">
        <f ca="1">INDIRECT(ADDRESS(MATCH($B51,'【別紙1】標高（入力）'!$B:$B,0),'【別紙1】標高（入力）'!AF$2,4,TRUE,"【別紙1】標高（入力）"))</f>
        <v/>
      </c>
      <c r="BG51" s="122" t="str">
        <f ca="1">INDIRECT(ADDRESS(MATCH($B51,'【別紙1】標高（入力）'!$B:$B,0),'【別紙1】標高（入力）'!AG$2,4,TRUE,"【別紙1】標高（入力）"))</f>
        <v/>
      </c>
      <c r="BH51" s="122" t="str">
        <f ca="1">INDIRECT(ADDRESS(MATCH($B51,'【別紙1】標高（入力）'!$B:$B,0),'【別紙1】標高（入力）'!AH$2,4,TRUE,"【別紙1】標高（入力）"))</f>
        <v/>
      </c>
      <c r="BI51" s="122">
        <f ca="1">INDIRECT(ADDRESS(MATCH($B51,'【別紙1】標高（入力）'!$B:$B,0),'【別紙1】標高（入力）'!AI$2,4,TRUE,"【別紙1】標高（入力）"))</f>
        <v>12.299999999999756</v>
      </c>
      <c r="BJ51" s="659" t="str">
        <f ca="1">INDIRECT(ADDRESS(MATCH($B51,'【別紙1】標高（入力）'!$B:$B,0),'【別紙1】標高（入力）'!AJ$2,4,TRUE,"【別紙1】標高（入力）"))</f>
        <v/>
      </c>
      <c r="BK51" s="598" t="str">
        <f t="shared" ca="1" si="0"/>
        <v>-</v>
      </c>
      <c r="BL51" s="604">
        <f t="shared" ca="1" si="1"/>
        <v>168.70000000000175</v>
      </c>
      <c r="BM51" s="602" t="str">
        <f ca="1">INDIRECT(ADDRESS(MATCH($B51,'【別紙1】標高（入力）'!$B:$B,0),'【別紙1】標高（入力）'!$N$2,4,TRUE,"【別紙1】標高（入力）"))</f>
        <v>R5</v>
      </c>
      <c r="BN51" s="342">
        <f ca="1">INDIRECT(ADDRESS(MATCH($B51,'【別紙1】標高（入力）'!$B:$B,0),'【別紙1】標高（入力）'!$O$2,4,TRUE,"【別紙1】標高（入力）"))</f>
        <v>9.5541</v>
      </c>
      <c r="BO51" s="392"/>
    </row>
    <row r="52" spans="1:67" ht="15.95" customHeight="1">
      <c r="A52" s="119">
        <v>304</v>
      </c>
      <c r="B52" s="107" t="s">
        <v>381</v>
      </c>
      <c r="C52" s="114" t="s">
        <v>96</v>
      </c>
      <c r="D52" s="110" t="s">
        <v>655</v>
      </c>
      <c r="E52" s="109" t="s">
        <v>102</v>
      </c>
      <c r="F52" s="111" t="s">
        <v>9</v>
      </c>
      <c r="G52" s="112" t="s">
        <v>19</v>
      </c>
      <c r="H52" s="112" t="s">
        <v>541</v>
      </c>
      <c r="I52" s="112" t="s">
        <v>539</v>
      </c>
      <c r="J52" s="112" t="s">
        <v>264</v>
      </c>
      <c r="K52" s="222"/>
      <c r="L52" s="124">
        <v>20.3</v>
      </c>
      <c r="M52" s="124">
        <v>2.4</v>
      </c>
      <c r="N52" s="124">
        <v>-1.2</v>
      </c>
      <c r="O52" s="124">
        <v>8.1</v>
      </c>
      <c r="P52" s="124">
        <v>11.7</v>
      </c>
      <c r="Q52" s="124">
        <v>8.9</v>
      </c>
      <c r="R52" s="124">
        <v>1.9</v>
      </c>
      <c r="S52" s="124">
        <v>-7.1</v>
      </c>
      <c r="T52" s="124">
        <v>4.4000000000000004</v>
      </c>
      <c r="U52" s="124">
        <v>3.6</v>
      </c>
      <c r="V52" s="124">
        <v>19</v>
      </c>
      <c r="W52" s="124">
        <v>17.7</v>
      </c>
      <c r="X52" s="124">
        <v>-3.2</v>
      </c>
      <c r="Y52" s="124">
        <v>-8.1999999999999993</v>
      </c>
      <c r="Z52" s="124">
        <v>4.4000000000000004</v>
      </c>
      <c r="AA52" s="124">
        <v>8.6</v>
      </c>
      <c r="AB52" s="124">
        <v>-3.3</v>
      </c>
      <c r="AC52" s="124">
        <v>8.1999999999999993</v>
      </c>
      <c r="AD52" s="124">
        <v>-1.2</v>
      </c>
      <c r="AE52" s="124">
        <v>-3.7</v>
      </c>
      <c r="AF52" s="124">
        <v>4.9000000000000004</v>
      </c>
      <c r="AG52" s="124">
        <v>4.2</v>
      </c>
      <c r="AH52" s="123">
        <v>-3.6</v>
      </c>
      <c r="AI52" s="126">
        <v>9.5</v>
      </c>
      <c r="AJ52" s="128">
        <v>1.8</v>
      </c>
      <c r="AK52" s="128">
        <v>-1.4</v>
      </c>
      <c r="AL52" s="123">
        <v>1.2</v>
      </c>
      <c r="AM52" s="123">
        <v>3.0000000000001101</v>
      </c>
      <c r="AN52" s="124">
        <v>-7.5</v>
      </c>
      <c r="AO52" s="122">
        <v>6.4</v>
      </c>
      <c r="AP52" s="126">
        <v>4.2</v>
      </c>
      <c r="AQ52" s="122">
        <v>-0.1</v>
      </c>
      <c r="AR52" s="125">
        <v>0.4</v>
      </c>
      <c r="AS52" s="139" t="s">
        <v>1071</v>
      </c>
      <c r="AT52" s="122"/>
      <c r="AU52" s="122"/>
      <c r="AV52" s="122">
        <v>0.8</v>
      </c>
      <c r="AW52" s="125">
        <v>-0.1</v>
      </c>
      <c r="AX52" s="125">
        <v>4.5999999999999996</v>
      </c>
      <c r="AY52" s="125">
        <v>-2.8</v>
      </c>
      <c r="AZ52" s="139" t="s">
        <v>1071</v>
      </c>
      <c r="BA52" s="460"/>
      <c r="BB52" s="122"/>
      <c r="BC52" s="122">
        <v>0.5</v>
      </c>
      <c r="BD52" s="125">
        <f ca="1">INDIRECT(ADDRESS(MATCH($B52,'【別紙1】標高（入力）'!$B:$B,0),'【別紙1】標高（入力）'!AD$2,4,TRUE,"【別紙1】標高（入力）"))</f>
        <v>2.500000000001279</v>
      </c>
      <c r="BE52" s="125" t="str">
        <f ca="1">INDIRECT(ADDRESS(MATCH($B52,'【別紙1】標高（入力）'!$B:$B,0),'【別紙1】標高（入力）'!AE$2,4,TRUE,"【別紙1】標高（入力）"))</f>
        <v/>
      </c>
      <c r="BF52" s="122" t="str">
        <f ca="1">INDIRECT(ADDRESS(MATCH($B52,'【別紙1】標高（入力）'!$B:$B,0),'【別紙1】標高（入力）'!AF$2,4,TRUE,"【別紙1】標高（入力）"))</f>
        <v/>
      </c>
      <c r="BG52" s="122" t="str">
        <f ca="1">INDIRECT(ADDRESS(MATCH($B52,'【別紙1】標高（入力）'!$B:$B,0),'【別紙1】標高（入力）'!AG$2,4,TRUE,"【別紙1】標高（入力）"))</f>
        <v/>
      </c>
      <c r="BH52" s="122" t="str">
        <f ca="1">INDIRECT(ADDRESS(MATCH($B52,'【別紙1】標高（入力）'!$B:$B,0),'【別紙1】標高（入力）'!AH$2,4,TRUE,"【別紙1】標高（入力）"))</f>
        <v/>
      </c>
      <c r="BI52" s="122"/>
      <c r="BJ52" s="624" t="str">
        <f ca="1">INDIRECT(ADDRESS(MATCH($B52,'【別紙1】標高（入力）'!$B:$B,0),'【別紙1】標高（入力）'!AJ$2,4,TRUE,"【別紙1】標高（入力）"))</f>
        <v/>
      </c>
      <c r="BK52" s="598" t="str">
        <f t="shared" ref="BK52:BK54" ca="1" si="14">IF(AND(ISNUMBER(BI52)*1,ISNUMBER(BH52)*1),BI52,"-")</f>
        <v>-</v>
      </c>
      <c r="BL52" s="604">
        <f t="shared" ref="BL52:BL54" ca="1" si="15">SUM(K52:BI52)</f>
        <v>119.80000000000142</v>
      </c>
      <c r="BM52" s="602" t="str">
        <f ca="1">INDIRECT(ADDRESS(MATCH($B52,'【別紙1】標高（入力）'!$B:$B,0),'【別紙1】標高（入力）'!$N$2,4,TRUE,"【別紙1】標高（入力）"))</f>
        <v>H30</v>
      </c>
      <c r="BN52" s="342">
        <f ca="1">INDIRECT(ADDRESS(MATCH($B52,'【別紙1】標高（入力）'!$B:$B,0),'【別紙1】標高（入力）'!$O$2,4,TRUE,"【別紙1】標高（入力）"))</f>
        <v>9.3439999999999994</v>
      </c>
      <c r="BO52" s="392"/>
    </row>
    <row r="53" spans="1:67" ht="15.95" customHeight="1">
      <c r="A53" s="119">
        <v>305</v>
      </c>
      <c r="B53" s="107" t="s">
        <v>402</v>
      </c>
      <c r="C53" s="114" t="s">
        <v>96</v>
      </c>
      <c r="D53" s="110" t="s">
        <v>103</v>
      </c>
      <c r="E53" s="109" t="s">
        <v>104</v>
      </c>
      <c r="F53" s="111" t="s">
        <v>9</v>
      </c>
      <c r="G53" s="112" t="s">
        <v>10</v>
      </c>
      <c r="H53" s="112" t="s">
        <v>541</v>
      </c>
      <c r="I53" s="112" t="s">
        <v>54</v>
      </c>
      <c r="J53" s="112" t="s">
        <v>264</v>
      </c>
      <c r="K53" s="224"/>
      <c r="L53" s="228"/>
      <c r="M53" s="221"/>
      <c r="N53" s="124">
        <v>14.5</v>
      </c>
      <c r="O53" s="124">
        <v>8.1</v>
      </c>
      <c r="P53" s="124">
        <v>20.2</v>
      </c>
      <c r="Q53" s="124">
        <v>17.3</v>
      </c>
      <c r="R53" s="124">
        <v>8.3000000000000007</v>
      </c>
      <c r="S53" s="124">
        <v>2.2999999999999998</v>
      </c>
      <c r="T53" s="124">
        <v>11.8</v>
      </c>
      <c r="U53" s="124">
        <v>3.5</v>
      </c>
      <c r="V53" s="124">
        <v>32.9</v>
      </c>
      <c r="W53" s="124">
        <v>67</v>
      </c>
      <c r="X53" s="124">
        <v>6.9</v>
      </c>
      <c r="Y53" s="124">
        <v>-3.8</v>
      </c>
      <c r="Z53" s="124">
        <v>2.6</v>
      </c>
      <c r="AA53" s="124">
        <v>10.6</v>
      </c>
      <c r="AB53" s="124">
        <v>-2.1</v>
      </c>
      <c r="AC53" s="124">
        <v>13.6</v>
      </c>
      <c r="AD53" s="124">
        <v>-1.9</v>
      </c>
      <c r="AE53" s="124">
        <v>-0.5</v>
      </c>
      <c r="AF53" s="124">
        <v>6.4</v>
      </c>
      <c r="AG53" s="124">
        <v>5.7</v>
      </c>
      <c r="AH53" s="123">
        <v>-0.6</v>
      </c>
      <c r="AI53" s="396">
        <v>10.8</v>
      </c>
      <c r="AJ53" s="124">
        <v>0.2</v>
      </c>
      <c r="AK53" s="124">
        <v>1.9</v>
      </c>
      <c r="AL53" s="124">
        <v>3.7</v>
      </c>
      <c r="AM53" s="123">
        <v>4.9999999999998899</v>
      </c>
      <c r="AN53" s="124">
        <v>-4.9000000000000004</v>
      </c>
      <c r="AO53" s="122">
        <v>7.8</v>
      </c>
      <c r="AP53" s="126">
        <v>6.3</v>
      </c>
      <c r="AQ53" s="135" t="s">
        <v>637</v>
      </c>
      <c r="AR53" s="122">
        <v>4.9999999999998899</v>
      </c>
      <c r="AS53" s="139" t="s">
        <v>1070</v>
      </c>
      <c r="AT53" s="122"/>
      <c r="AU53" s="122"/>
      <c r="AV53" s="122"/>
      <c r="AW53" s="122">
        <v>12.6</v>
      </c>
      <c r="AX53" s="125">
        <v>8.6</v>
      </c>
      <c r="AY53" s="139" t="s">
        <v>1070</v>
      </c>
      <c r="AZ53" s="122"/>
      <c r="BA53" s="460"/>
      <c r="BB53" s="122"/>
      <c r="BC53" s="122">
        <v>5.3</v>
      </c>
      <c r="BD53" s="125" t="s">
        <v>1382</v>
      </c>
      <c r="BE53" s="122" t="str">
        <f ca="1">INDIRECT(ADDRESS(MATCH($B53,'【別紙1】標高（入力）'!$B:$B,0),'【別紙1】標高（入力）'!AE$2,4,TRUE,"【別紙1】標高（入力）"))</f>
        <v/>
      </c>
      <c r="BF53" s="122" t="str">
        <f ca="1">INDIRECT(ADDRESS(MATCH($B53,'【別紙1】標高（入力）'!$B:$B,0),'【別紙1】標高（入力）'!AF$2,4,TRUE,"【別紙1】標高（入力）"))</f>
        <v/>
      </c>
      <c r="BG53" s="122" t="str">
        <f ca="1">INDIRECT(ADDRESS(MATCH($B53,'【別紙1】標高（入力）'!$B:$B,0),'【別紙1】標高（入力）'!AG$2,4,TRUE,"【別紙1】標高（入力）"))</f>
        <v/>
      </c>
      <c r="BH53" s="121">
        <f ca="1">INDIRECT(ADDRESS(MATCH($B53,'【別紙1】標高（入力）'!$B:$B,0),'【別紙1】標高（入力）'!AH$2,4,TRUE,"【別紙1】標高（入力）"))</f>
        <v>31.39999999999965</v>
      </c>
      <c r="BI53" s="122"/>
      <c r="BJ53" s="624" t="str">
        <f ca="1">INDIRECT(ADDRESS(MATCH($B53,'【別紙1】標高（入力）'!$B:$B,0),'【別紙1】標高（入力）'!AJ$2,4,TRUE,"【別紙1】標高（入力）"))</f>
        <v/>
      </c>
      <c r="BK53" s="598" t="str">
        <f t="shared" ca="1" si="14"/>
        <v>-</v>
      </c>
      <c r="BL53" s="604">
        <f t="shared" ca="1" si="15"/>
        <v>316.49999999999943</v>
      </c>
      <c r="BM53" s="602" t="str">
        <f ca="1">INDIRECT(ADDRESS(MATCH($B53,'【別紙1】標高（入力）'!$B:$B,0),'【別紙1】標高（入力）'!$N$2,4,TRUE,"【別紙1】標高（入力）"))</f>
        <v>R4</v>
      </c>
      <c r="BN53" s="342">
        <f ca="1">INDIRECT(ADDRESS(MATCH($B53,'【別紙1】標高（入力）'!$B:$B,0),'【別紙1】標高（入力）'!$O$2,4,TRUE,"【別紙1】標高（入力）"))</f>
        <v>7.5693000000000001</v>
      </c>
      <c r="BO53" s="392"/>
    </row>
    <row r="54" spans="1:67" ht="15.95" customHeight="1">
      <c r="A54" s="119">
        <v>306</v>
      </c>
      <c r="B54" s="107" t="s">
        <v>380</v>
      </c>
      <c r="C54" s="114" t="s">
        <v>96</v>
      </c>
      <c r="D54" s="110" t="s">
        <v>570</v>
      </c>
      <c r="E54" s="109" t="s">
        <v>105</v>
      </c>
      <c r="F54" s="111" t="s">
        <v>9</v>
      </c>
      <c r="G54" s="112" t="s">
        <v>19</v>
      </c>
      <c r="H54" s="112" t="s">
        <v>541</v>
      </c>
      <c r="I54" s="112" t="s">
        <v>54</v>
      </c>
      <c r="J54" s="112" t="s">
        <v>264</v>
      </c>
      <c r="K54" s="222"/>
      <c r="L54" s="124">
        <v>32.700000000000003</v>
      </c>
      <c r="M54" s="124">
        <v>35.1</v>
      </c>
      <c r="N54" s="124">
        <v>39.799999999999997</v>
      </c>
      <c r="O54" s="124">
        <v>-9.3000000000000007</v>
      </c>
      <c r="P54" s="124">
        <v>13.9</v>
      </c>
      <c r="Q54" s="124">
        <v>53.5</v>
      </c>
      <c r="R54" s="124">
        <v>20.100000000000001</v>
      </c>
      <c r="S54" s="124">
        <v>2</v>
      </c>
      <c r="T54" s="124">
        <v>31.2</v>
      </c>
      <c r="U54" s="124">
        <v>28.1</v>
      </c>
      <c r="V54" s="124">
        <v>83.9</v>
      </c>
      <c r="W54" s="124">
        <v>46.3</v>
      </c>
      <c r="X54" s="124">
        <v>9.4</v>
      </c>
      <c r="Y54" s="124">
        <v>-10.8</v>
      </c>
      <c r="Z54" s="124">
        <v>1.3</v>
      </c>
      <c r="AA54" s="124">
        <v>10.5</v>
      </c>
      <c r="AB54" s="124">
        <v>-2.8</v>
      </c>
      <c r="AC54" s="124">
        <v>9.6999999999999993</v>
      </c>
      <c r="AD54" s="124">
        <v>0</v>
      </c>
      <c r="AE54" s="124">
        <v>-2.6</v>
      </c>
      <c r="AF54" s="124">
        <v>6</v>
      </c>
      <c r="AG54" s="124">
        <v>6.6</v>
      </c>
      <c r="AH54" s="123">
        <v>-2.6</v>
      </c>
      <c r="AI54" s="126">
        <v>10.1</v>
      </c>
      <c r="AJ54" s="128">
        <v>4.7</v>
      </c>
      <c r="AK54" s="128">
        <v>-0.6</v>
      </c>
      <c r="AL54" s="123">
        <v>2.9</v>
      </c>
      <c r="AM54" s="123">
        <v>7.10000000000033</v>
      </c>
      <c r="AN54" s="124">
        <v>-4.9000000000000004</v>
      </c>
      <c r="AO54" s="122">
        <v>7.3</v>
      </c>
      <c r="AP54" s="126">
        <v>6.3</v>
      </c>
      <c r="AQ54" s="122">
        <v>3.5</v>
      </c>
      <c r="AR54" s="125">
        <v>5.8</v>
      </c>
      <c r="AS54" s="139" t="s">
        <v>1070</v>
      </c>
      <c r="AT54" s="122"/>
      <c r="AU54" s="122"/>
      <c r="AV54" s="122"/>
      <c r="AW54" s="122">
        <v>14.1</v>
      </c>
      <c r="AX54" s="125">
        <v>6.7</v>
      </c>
      <c r="AY54" s="125">
        <v>-3.2</v>
      </c>
      <c r="AZ54" s="139" t="s">
        <v>1071</v>
      </c>
      <c r="BA54" s="460"/>
      <c r="BB54" s="122"/>
      <c r="BC54" s="122">
        <v>1.7</v>
      </c>
      <c r="BD54" s="125">
        <f ca="1">INDIRECT(ADDRESS(MATCH($B54,'【別紙1】標高（入力）'!$B:$B,0),'【別紙1】標高（入力）'!AD$2,4,TRUE,"【別紙1】標高（入力）"))</f>
        <v>5.7000000000000384</v>
      </c>
      <c r="BE54" s="125" t="str">
        <f ca="1">INDIRECT(ADDRESS(MATCH($B54,'【別紙1】標高（入力）'!$B:$B,0),'【別紙1】標高（入力）'!AE$2,4,TRUE,"【別紙1】標高（入力）"))</f>
        <v/>
      </c>
      <c r="BF54" s="122" t="str">
        <f ca="1">INDIRECT(ADDRESS(MATCH($B54,'【別紙1】標高（入力）'!$B:$B,0),'【別紙1】標高（入力）'!AF$2,4,TRUE,"【別紙1】標高（入力）"))</f>
        <v/>
      </c>
      <c r="BG54" s="122" t="str">
        <f ca="1">INDIRECT(ADDRESS(MATCH($B54,'【別紙1】標高（入力）'!$B:$B,0),'【別紙1】標高（入力）'!AG$2,4,TRUE,"【別紙1】標高（入力）"))</f>
        <v/>
      </c>
      <c r="BH54" s="122" t="str">
        <f ca="1">INDIRECT(ADDRESS(MATCH($B54,'【別紙1】標高（入力）'!$B:$B,0),'【別紙1】標高（入力）'!AH$2,4,TRUE,"【別紙1】標高（入力）"))</f>
        <v/>
      </c>
      <c r="BI54" s="122"/>
      <c r="BJ54" s="624" t="str">
        <f ca="1">INDIRECT(ADDRESS(MATCH($B54,'【別紙1】標高（入力）'!$B:$B,0),'【別紙1】標高（入力）'!AJ$2,4,TRUE,"【別紙1】標高（入力）"))</f>
        <v/>
      </c>
      <c r="BK54" s="598" t="str">
        <f t="shared" ca="1" si="14"/>
        <v>-</v>
      </c>
      <c r="BL54" s="604">
        <f t="shared" ca="1" si="15"/>
        <v>469.20000000000033</v>
      </c>
      <c r="BM54" s="602" t="str">
        <f ca="1">INDIRECT(ADDRESS(MATCH($B54,'【別紙1】標高（入力）'!$B:$B,0),'【別紙1】標高（入力）'!$N$2,4,TRUE,"【別紙1】標高（入力）"))</f>
        <v>H30</v>
      </c>
      <c r="BN54" s="342">
        <f ca="1">INDIRECT(ADDRESS(MATCH($B54,'【別紙1】標高（入力）'!$B:$B,0),'【別紙1】標高（入力）'!$O$2,4,TRUE,"【別紙1】標高（入力）"))</f>
        <v>6.9653</v>
      </c>
      <c r="BO54" s="392"/>
    </row>
    <row r="55" spans="1:67" ht="15.95" customHeight="1">
      <c r="A55" s="119">
        <v>307</v>
      </c>
      <c r="B55" s="107" t="s">
        <v>379</v>
      </c>
      <c r="C55" s="114" t="s">
        <v>96</v>
      </c>
      <c r="D55" s="110" t="s">
        <v>656</v>
      </c>
      <c r="E55" s="109" t="s">
        <v>106</v>
      </c>
      <c r="F55" s="111" t="s">
        <v>9</v>
      </c>
      <c r="G55" s="112" t="s">
        <v>19</v>
      </c>
      <c r="H55" s="112" t="s">
        <v>541</v>
      </c>
      <c r="I55" s="112" t="s">
        <v>54</v>
      </c>
      <c r="J55" s="112" t="s">
        <v>264</v>
      </c>
      <c r="K55" s="222"/>
      <c r="L55" s="124">
        <v>48.3</v>
      </c>
      <c r="M55" s="124">
        <v>47.1</v>
      </c>
      <c r="N55" s="124">
        <v>36.6</v>
      </c>
      <c r="O55" s="124">
        <v>0.7</v>
      </c>
      <c r="P55" s="124">
        <v>21.6</v>
      </c>
      <c r="Q55" s="124">
        <v>29.2</v>
      </c>
      <c r="R55" s="124">
        <v>16</v>
      </c>
      <c r="S55" s="124">
        <v>3.1</v>
      </c>
      <c r="T55" s="124">
        <v>14.9</v>
      </c>
      <c r="U55" s="124">
        <v>7.6</v>
      </c>
      <c r="V55" s="124">
        <v>26.3</v>
      </c>
      <c r="W55" s="124">
        <v>44.5</v>
      </c>
      <c r="X55" s="124">
        <v>8.6999999999999993</v>
      </c>
      <c r="Y55" s="124">
        <v>-2</v>
      </c>
      <c r="Z55" s="124">
        <v>-0.2</v>
      </c>
      <c r="AA55" s="124">
        <v>12</v>
      </c>
      <c r="AB55" s="124">
        <v>-2.4</v>
      </c>
      <c r="AC55" s="124">
        <v>12.6</v>
      </c>
      <c r="AD55" s="124">
        <v>0.8</v>
      </c>
      <c r="AE55" s="124">
        <v>0.5</v>
      </c>
      <c r="AF55" s="124">
        <v>7.3</v>
      </c>
      <c r="AG55" s="124">
        <v>7.6</v>
      </c>
      <c r="AH55" s="123">
        <v>-1.4</v>
      </c>
      <c r="AI55" s="396">
        <v>11.1</v>
      </c>
      <c r="AJ55" s="124">
        <v>2.9</v>
      </c>
      <c r="AK55" s="124">
        <v>2.2000000000000002</v>
      </c>
      <c r="AL55" s="124">
        <v>1.5</v>
      </c>
      <c r="AM55" s="123">
        <v>7.10000000000033</v>
      </c>
      <c r="AN55" s="124">
        <v>-4.7</v>
      </c>
      <c r="AO55" s="122">
        <v>8.9</v>
      </c>
      <c r="AP55" s="126">
        <v>6.8</v>
      </c>
      <c r="AQ55" s="122">
        <v>2.4</v>
      </c>
      <c r="AR55" s="125">
        <v>4.3</v>
      </c>
      <c r="AS55" s="139" t="s">
        <v>1070</v>
      </c>
      <c r="AT55" s="122"/>
      <c r="AU55" s="122"/>
      <c r="AV55" s="122"/>
      <c r="AW55" s="122">
        <v>5.0999999999999996</v>
      </c>
      <c r="AX55" s="125">
        <v>7.7</v>
      </c>
      <c r="AY55" s="139" t="s">
        <v>1070</v>
      </c>
      <c r="AZ55" s="122"/>
      <c r="BA55" s="460"/>
      <c r="BB55" s="122"/>
      <c r="BC55" s="122">
        <v>-3.5</v>
      </c>
      <c r="BD55" s="125" t="str">
        <f ca="1">INDIRECT(ADDRESS(MATCH($B55,'【別紙1】標高（入力）'!$B:$B,0),'【別紙1】標高（入力）'!AD$2,4,TRUE,"【別紙1】標高（入力）"))</f>
        <v/>
      </c>
      <c r="BE55" s="122" t="str">
        <f ca="1">INDIRECT(ADDRESS(MATCH($B55,'【別紙1】標高（入力）'!$B:$B,0),'【別紙1】標高（入力）'!AE$2,4,TRUE,"【別紙1】標高（入力）"))</f>
        <v/>
      </c>
      <c r="BF55" s="122" t="str">
        <f ca="1">INDIRECT(ADDRESS(MATCH($B55,'【別紙1】標高（入力）'!$B:$B,0),'【別紙1】標高（入力）'!AF$2,4,TRUE,"【別紙1】標高（入力）"))</f>
        <v/>
      </c>
      <c r="BG55" s="122" t="str">
        <f ca="1">INDIRECT(ADDRESS(MATCH($B55,'【別紙1】標高（入力）'!$B:$B,0),'【別紙1】標高（入力）'!AG$2,4,TRUE,"【別紙1】標高（入力）"))</f>
        <v/>
      </c>
      <c r="BH55" s="122" t="str">
        <f ca="1">INDIRECT(ADDRESS(MATCH($B55,'【別紙1】標高（入力）'!$B:$B,0),'【別紙1】標高（入力）'!AH$2,4,TRUE,"【別紙1】標高（入力）"))</f>
        <v/>
      </c>
      <c r="BI55" s="122"/>
      <c r="BJ55" s="567" t="str">
        <f ca="1">INDIRECT(ADDRESS(MATCH($B55,'【別紙1】標高（入力）'!$B:$B,0),'【別紙1】標高（入力）'!AJ$2,4,TRUE,"【別紙1】標高（入力）"))</f>
        <v/>
      </c>
      <c r="BK55" s="598" t="str">
        <f t="shared" ca="1" si="0"/>
        <v>-</v>
      </c>
      <c r="BL55" s="604">
        <f t="shared" ca="1" si="1"/>
        <v>391.20000000000039</v>
      </c>
      <c r="BM55" s="602" t="str">
        <f ca="1">INDIRECT(ADDRESS(MATCH($B55,'【別紙1】標高（入力）'!$B:$B,0),'【別紙1】標高（入力）'!$N$2,4,TRUE,"【別紙1】標高（入力）"))</f>
        <v>H29</v>
      </c>
      <c r="BN55" s="342">
        <f ca="1">INDIRECT(ADDRESS(MATCH($B55,'【別紙1】標高（入力）'!$B:$B,0),'【別紙1】標高（入力）'!$O$2,4,TRUE,"【別紙1】標高（入力）"))</f>
        <v>6.0046999999999997</v>
      </c>
      <c r="BO55" s="392"/>
    </row>
    <row r="56" spans="1:67" ht="15.95" customHeight="1">
      <c r="A56" s="119">
        <v>308</v>
      </c>
      <c r="B56" s="107" t="s">
        <v>377</v>
      </c>
      <c r="C56" s="114" t="s">
        <v>96</v>
      </c>
      <c r="D56" s="110" t="s">
        <v>107</v>
      </c>
      <c r="E56" s="109" t="s">
        <v>108</v>
      </c>
      <c r="F56" s="111" t="s">
        <v>9</v>
      </c>
      <c r="G56" s="112" t="s">
        <v>10</v>
      </c>
      <c r="H56" s="112" t="s">
        <v>541</v>
      </c>
      <c r="I56" s="112" t="s">
        <v>539</v>
      </c>
      <c r="J56" s="112" t="s">
        <v>264</v>
      </c>
      <c r="K56" s="224"/>
      <c r="L56" s="228"/>
      <c r="M56" s="221"/>
      <c r="N56" s="124">
        <v>19.399999999999999</v>
      </c>
      <c r="O56" s="124">
        <v>19</v>
      </c>
      <c r="P56" s="124">
        <v>29.6</v>
      </c>
      <c r="Q56" s="124">
        <v>29.7</v>
      </c>
      <c r="R56" s="124">
        <v>14.8</v>
      </c>
      <c r="S56" s="124">
        <v>1.3</v>
      </c>
      <c r="T56" s="124">
        <v>14.6</v>
      </c>
      <c r="U56" s="124">
        <v>5.0999999999999996</v>
      </c>
      <c r="V56" s="123">
        <v>35.6</v>
      </c>
      <c r="W56" s="411" t="s">
        <v>1270</v>
      </c>
      <c r="X56" s="127">
        <v>47.6</v>
      </c>
      <c r="Y56" s="124">
        <v>12</v>
      </c>
      <c r="Z56" s="124">
        <v>1.5</v>
      </c>
      <c r="AA56" s="124">
        <v>14.4</v>
      </c>
      <c r="AB56" s="124">
        <v>5.8</v>
      </c>
      <c r="AC56" s="124">
        <v>18.2</v>
      </c>
      <c r="AD56" s="124">
        <v>2.4</v>
      </c>
      <c r="AE56" s="124">
        <v>0.7</v>
      </c>
      <c r="AF56" s="124">
        <v>9.6</v>
      </c>
      <c r="AG56" s="124">
        <v>6.9</v>
      </c>
      <c r="AH56" s="123">
        <v>2.8</v>
      </c>
      <c r="AI56" s="396">
        <v>11.4</v>
      </c>
      <c r="AJ56" s="124">
        <v>2.2999999999999998</v>
      </c>
      <c r="AK56" s="124">
        <v>2.8</v>
      </c>
      <c r="AL56" s="123">
        <v>5.5</v>
      </c>
      <c r="AM56" s="123">
        <v>7.2000000000000997</v>
      </c>
      <c r="AN56" s="124">
        <v>-5.7</v>
      </c>
      <c r="AO56" s="122">
        <v>8.8000000000000007</v>
      </c>
      <c r="AP56" s="126">
        <v>5.8</v>
      </c>
      <c r="AQ56" s="122">
        <v>2.4</v>
      </c>
      <c r="AR56" s="125">
        <v>1.3</v>
      </c>
      <c r="AS56" s="125">
        <v>2.1</v>
      </c>
      <c r="AT56" s="139" t="s">
        <v>1071</v>
      </c>
      <c r="AU56" s="122"/>
      <c r="AV56" s="122"/>
      <c r="AW56" s="122">
        <v>5.9</v>
      </c>
      <c r="AX56" s="125">
        <v>7.5</v>
      </c>
      <c r="AY56" s="139" t="s">
        <v>1069</v>
      </c>
      <c r="AZ56" s="121">
        <v>-2</v>
      </c>
      <c r="BA56" s="463" t="s">
        <v>1068</v>
      </c>
      <c r="BB56" s="122"/>
      <c r="BC56" s="122">
        <v>1.6</v>
      </c>
      <c r="BD56" s="139" t="s">
        <v>1069</v>
      </c>
      <c r="BE56" s="121">
        <f ca="1">INDIRECT(ADDRESS(MATCH($B56,'【別紙1】標高（入力）'!$B:$B,0),'【別紙1】標高（入力）'!AE$2,4,TRUE,"【別紙1】標高（入力）"))</f>
        <v>5.7999999999998053</v>
      </c>
      <c r="BF56" s="135" t="s">
        <v>1273</v>
      </c>
      <c r="BG56" s="122" t="str">
        <f ca="1">INDIRECT(ADDRESS(MATCH($B56,'【別紙1】標高（入力）'!$B:$B,0),'【別紙1】標高（入力）'!AG$2,4,TRUE,"【別紙1】標高（入力）"))</f>
        <v/>
      </c>
      <c r="BH56" s="121">
        <f ca="1">INDIRECT(ADDRESS(MATCH($B56,'【別紙1】標高（入力）'!$B:$B,0),'【別紙1】標高（入力）'!AH$2,4,TRUE,"【別紙1】標高（入力）"))</f>
        <v>6.5999999999997172</v>
      </c>
      <c r="BI56" s="122"/>
      <c r="BJ56" s="624" t="str">
        <f ca="1">INDIRECT(ADDRESS(MATCH($B56,'【別紙1】標高（入力）'!$B:$B,0),'【別紙1】標高（入力）'!AJ$2,4,TRUE,"【別紙1】標高（入力）"))</f>
        <v/>
      </c>
      <c r="BK56" s="598" t="str">
        <f t="shared" ref="BK56:BK61" ca="1" si="16">IF(AND(ISNUMBER(BI56)*1,ISNUMBER(BH56)*1),BI56,"-")</f>
        <v>-</v>
      </c>
      <c r="BL56" s="604">
        <f t="shared" ref="BL56:BL61" ca="1" si="17">SUM(K56:BI56)</f>
        <v>360.29999999999967</v>
      </c>
      <c r="BM56" s="600" t="str">
        <f ca="1">INDIRECT(ADDRESS(MATCH($B56,'【別紙1】標高（入力）'!$B:$B,0),'【別紙1】標高（入力）'!$N$2,4,TRUE,"【別紙1】標高（入力）"))</f>
        <v>R4</v>
      </c>
      <c r="BN56" s="342">
        <f ca="1">INDIRECT(ADDRESS(MATCH($B56,'【別紙1】標高（入力）'!$B:$B,0),'【別紙1】標高（入力）'!$O$2,4,TRUE,"【別紙1】標高（入力）"))</f>
        <v>5.9050000000000002</v>
      </c>
      <c r="BO56" s="392"/>
    </row>
    <row r="57" spans="1:67" ht="15.95" customHeight="1">
      <c r="A57" s="119">
        <v>309</v>
      </c>
      <c r="B57" s="107" t="s">
        <v>375</v>
      </c>
      <c r="C57" s="114" t="s">
        <v>96</v>
      </c>
      <c r="D57" s="110" t="s">
        <v>684</v>
      </c>
      <c r="E57" s="109" t="s">
        <v>109</v>
      </c>
      <c r="F57" s="111" t="s">
        <v>9</v>
      </c>
      <c r="G57" s="112" t="s">
        <v>19</v>
      </c>
      <c r="H57" s="112" t="s">
        <v>541</v>
      </c>
      <c r="I57" s="112" t="s">
        <v>54</v>
      </c>
      <c r="J57" s="112" t="s">
        <v>264</v>
      </c>
      <c r="K57" s="222"/>
      <c r="L57" s="124">
        <v>37.1</v>
      </c>
      <c r="M57" s="124">
        <v>27.3</v>
      </c>
      <c r="N57" s="124">
        <v>18.399999999999999</v>
      </c>
      <c r="O57" s="136" t="s">
        <v>636</v>
      </c>
      <c r="P57" s="122">
        <v>25.2</v>
      </c>
      <c r="Q57" s="411" t="s">
        <v>1270</v>
      </c>
      <c r="R57" s="127">
        <v>14.7</v>
      </c>
      <c r="S57" s="124">
        <v>-4.5999999999999996</v>
      </c>
      <c r="T57" s="124">
        <v>11.9</v>
      </c>
      <c r="U57" s="124">
        <v>5.5</v>
      </c>
      <c r="V57" s="124">
        <v>34.299999999999997</v>
      </c>
      <c r="W57" s="124">
        <v>49</v>
      </c>
      <c r="X57" s="124">
        <v>2.4</v>
      </c>
      <c r="Y57" s="124">
        <v>-5.2</v>
      </c>
      <c r="Z57" s="124">
        <v>-6.2</v>
      </c>
      <c r="AA57" s="124">
        <v>7.4</v>
      </c>
      <c r="AB57" s="124">
        <v>-5.0999999999999996</v>
      </c>
      <c r="AC57" s="124">
        <v>9.5</v>
      </c>
      <c r="AD57" s="124">
        <v>-2</v>
      </c>
      <c r="AE57" s="124">
        <v>-2.4</v>
      </c>
      <c r="AF57" s="124">
        <v>8</v>
      </c>
      <c r="AG57" s="124">
        <v>5.0999999999999996</v>
      </c>
      <c r="AH57" s="123">
        <v>-2.7</v>
      </c>
      <c r="AI57" s="396">
        <v>8.5</v>
      </c>
      <c r="AJ57" s="124">
        <v>1.4</v>
      </c>
      <c r="AK57" s="124">
        <v>5</v>
      </c>
      <c r="AL57" s="124">
        <v>2.2000000000000002</v>
      </c>
      <c r="AM57" s="123">
        <v>4.1999999999999797</v>
      </c>
      <c r="AN57" s="124">
        <v>-4.9000000000000004</v>
      </c>
      <c r="AO57" s="122">
        <v>7</v>
      </c>
      <c r="AP57" s="126">
        <v>6.7</v>
      </c>
      <c r="AQ57" s="122">
        <v>1.6</v>
      </c>
      <c r="AR57" s="125">
        <v>5.3</v>
      </c>
      <c r="AS57" s="126">
        <v>6.4</v>
      </c>
      <c r="AT57" s="139" t="s">
        <v>1071</v>
      </c>
      <c r="AU57" s="122"/>
      <c r="AV57" s="122"/>
      <c r="AW57" s="122">
        <v>5.3</v>
      </c>
      <c r="AX57" s="125">
        <v>6.6</v>
      </c>
      <c r="AY57" s="139" t="s">
        <v>1069</v>
      </c>
      <c r="AZ57" s="121">
        <v>-5.9</v>
      </c>
      <c r="BA57" s="463" t="s">
        <v>1068</v>
      </c>
      <c r="BB57" s="122"/>
      <c r="BC57" s="122">
        <v>-1.5</v>
      </c>
      <c r="BD57" s="139" t="s">
        <v>1069</v>
      </c>
      <c r="BE57" s="121">
        <f ca="1">INDIRECT(ADDRESS(MATCH($B57,'【別紙1】標高（入力）'!$B:$B,0),'【別紙1】標高（入力）'!AE$2,4,TRUE,"【別紙1】標高（入力）"))</f>
        <v>2.9000000000003467</v>
      </c>
      <c r="BF57" s="122" t="str">
        <f ca="1">INDIRECT(ADDRESS(MATCH($B57,'【別紙1】標高（入力）'!$B:$B,0),'【別紙1】標高（入力）'!AF$2,4,TRUE,"【別紙1】標高（入力）"))</f>
        <v/>
      </c>
      <c r="BG57" s="122" t="str">
        <f ca="1">INDIRECT(ADDRESS(MATCH($B57,'【別紙1】標高（入力）'!$B:$B,0),'【別紙1】標高（入力）'!AG$2,4,TRUE,"【別紙1】標高（入力）"))</f>
        <v/>
      </c>
      <c r="BH57" s="122" t="str">
        <f ca="1">INDIRECT(ADDRESS(MATCH($B57,'【別紙1】標高（入力）'!$B:$B,0),'【別紙1】標高（入力）'!AH$2,4,TRUE,"【別紙1】標高（入力）"))</f>
        <v/>
      </c>
      <c r="BI57" s="122"/>
      <c r="BJ57" s="624" t="str">
        <f ca="1">INDIRECT(ADDRESS(MATCH($B57,'【別紙1】標高（入力）'!$B:$B,0),'【別紙1】標高（入力）'!AJ$2,4,TRUE,"【別紙1】標高（入力）"))</f>
        <v/>
      </c>
      <c r="BK57" s="598" t="str">
        <f t="shared" ca="1" si="16"/>
        <v>-</v>
      </c>
      <c r="BL57" s="604">
        <f t="shared" ca="1" si="17"/>
        <v>278.40000000000043</v>
      </c>
      <c r="BM57" s="600" t="str">
        <f ca="1">INDIRECT(ADDRESS(MATCH($B57,'【別紙1】標高（入力）'!$B:$B,0),'【別紙1】標高（入力）'!$N$2,4,TRUE,"【別紙1】標高（入力）"))</f>
        <v>R1</v>
      </c>
      <c r="BN57" s="342">
        <f ca="1">INDIRECT(ADDRESS(MATCH($B57,'【別紙1】標高（入力）'!$B:$B,0),'【別紙1】標高（入力）'!$O$2,4,TRUE,"【別紙1】標高（入力）"))</f>
        <v>4.8231999999999999</v>
      </c>
      <c r="BO57" s="392"/>
    </row>
    <row r="58" spans="1:67" ht="15.95" customHeight="1">
      <c r="A58" s="119">
        <v>310</v>
      </c>
      <c r="B58" s="107" t="s">
        <v>1176</v>
      </c>
      <c r="C58" s="114" t="s">
        <v>96</v>
      </c>
      <c r="D58" s="110" t="s">
        <v>571</v>
      </c>
      <c r="E58" s="109" t="s">
        <v>111</v>
      </c>
      <c r="F58" s="111" t="s">
        <v>9</v>
      </c>
      <c r="G58" s="112" t="s">
        <v>10</v>
      </c>
      <c r="H58" s="112" t="s">
        <v>541</v>
      </c>
      <c r="I58" s="112" t="s">
        <v>539</v>
      </c>
      <c r="J58" s="112" t="s">
        <v>270</v>
      </c>
      <c r="K58" s="224"/>
      <c r="L58" s="228"/>
      <c r="M58" s="221"/>
      <c r="N58" s="124">
        <v>16.600000000000001</v>
      </c>
      <c r="O58" s="136" t="s">
        <v>636</v>
      </c>
      <c r="P58" s="127">
        <v>45.8</v>
      </c>
      <c r="Q58" s="124">
        <v>16</v>
      </c>
      <c r="R58" s="124">
        <v>9</v>
      </c>
      <c r="S58" s="124">
        <v>3.8</v>
      </c>
      <c r="T58" s="123">
        <v>9</v>
      </c>
      <c r="U58" s="411" t="s">
        <v>47</v>
      </c>
      <c r="V58" s="127">
        <v>13.8</v>
      </c>
      <c r="W58" s="124">
        <v>27.3</v>
      </c>
      <c r="X58" s="124">
        <v>4.3</v>
      </c>
      <c r="Y58" s="124">
        <v>-8.1999999999999993</v>
      </c>
      <c r="Z58" s="124">
        <v>11.6</v>
      </c>
      <c r="AA58" s="124">
        <v>7.4</v>
      </c>
      <c r="AB58" s="124">
        <v>0.4</v>
      </c>
      <c r="AC58" s="124">
        <v>10.7</v>
      </c>
      <c r="AD58" s="124">
        <v>-0.5</v>
      </c>
      <c r="AE58" s="124">
        <v>0.3</v>
      </c>
      <c r="AF58" s="124">
        <v>7.2</v>
      </c>
      <c r="AG58" s="124">
        <v>7</v>
      </c>
      <c r="AH58" s="123">
        <v>-2.5</v>
      </c>
      <c r="AI58" s="396">
        <v>11.6</v>
      </c>
      <c r="AJ58" s="124">
        <v>-0.2</v>
      </c>
      <c r="AK58" s="124">
        <v>2</v>
      </c>
      <c r="AL58" s="123">
        <v>6.7</v>
      </c>
      <c r="AM58" s="123">
        <v>5.2000000000003199</v>
      </c>
      <c r="AN58" s="124">
        <v>-7</v>
      </c>
      <c r="AO58" s="122">
        <v>11</v>
      </c>
      <c r="AP58" s="126">
        <v>6.6</v>
      </c>
      <c r="AQ58" s="135" t="s">
        <v>637</v>
      </c>
      <c r="AR58" s="122">
        <v>2.10000000000043</v>
      </c>
      <c r="AS58" s="139" t="s">
        <v>1068</v>
      </c>
      <c r="AT58" s="122"/>
      <c r="AU58" s="122">
        <v>3.9</v>
      </c>
      <c r="AV58" s="126">
        <v>3.5</v>
      </c>
      <c r="AW58" s="125">
        <v>2.4</v>
      </c>
      <c r="AX58" s="125">
        <v>4.4000000000000004</v>
      </c>
      <c r="AY58" s="139" t="s">
        <v>1069</v>
      </c>
      <c r="AZ58" s="121">
        <v>-2.1</v>
      </c>
      <c r="BA58" s="463" t="s">
        <v>1068</v>
      </c>
      <c r="BB58" s="122"/>
      <c r="BC58" s="122">
        <v>6.4</v>
      </c>
      <c r="BD58" s="139" t="s">
        <v>1069</v>
      </c>
      <c r="BE58" s="121">
        <f ca="1">INDIRECT(ADDRESS(MATCH($B58,'【別紙1】標高（入力）'!$B:$B,0),'【別紙1】標高（入力）'!AE$2,4,TRUE,"【別紙1】標高（入力）"))</f>
        <v>11.799999999999145</v>
      </c>
      <c r="BF58" s="135" t="s">
        <v>1337</v>
      </c>
      <c r="BG58" s="122" t="str">
        <f ca="1">INDIRECT(ADDRESS(MATCH($B58,'【別紙1】標高（入力）'!$B:$B,0),'【別紙1】標高（入力）'!AG$2,4,TRUE,"【別紙1】標高（入力）"))</f>
        <v/>
      </c>
      <c r="BH58" s="122" t="str">
        <f ca="1">INDIRECT(ADDRESS(MATCH($B58,'【別紙1】標高（入力）'!$B:$B,0),'【別紙1】標高（入力）'!AH$2,4,TRUE,"【別紙1】標高（入力）"))</f>
        <v/>
      </c>
      <c r="BI58" s="121">
        <f ca="1">INDIRECT(ADDRESS(MATCH($B58,'【別紙1】標高（入力）'!$B:$B,0),'【別紙1】標高（入力）'!AI$2,4,TRUE,"【別紙1】標高（入力）"))</f>
        <v>9.9999999999997868</v>
      </c>
      <c r="BJ58" s="624" t="str">
        <f ca="1">INDIRECT(ADDRESS(MATCH($B58,'【別紙1】標高（入力）'!$B:$B,0),'【別紙1】標高（入力）'!AJ$2,4,TRUE,"【別紙1】標高（入力）"))</f>
        <v/>
      </c>
      <c r="BK58" s="598" t="str">
        <f t="shared" ca="1" si="16"/>
        <v>-</v>
      </c>
      <c r="BL58" s="604">
        <f t="shared" ca="1" si="17"/>
        <v>257.29999999999973</v>
      </c>
      <c r="BM58" s="602" t="str">
        <f ca="1">INDIRECT(ADDRESS(MATCH($B58,'【別紙1】標高（入力）'!$B:$B,0),'【別紙1】標高（入力）'!$N$2,4,TRUE,"【別紙1】標高（入力）"))</f>
        <v>R5</v>
      </c>
      <c r="BN58" s="342">
        <f ca="1">INDIRECT(ADDRESS(MATCH($B58,'【別紙1】標高（入力）'!$B:$B,0),'【別紙1】標高（入力）'!$O$2,4,TRUE,"【別紙1】標高（入力）"))</f>
        <v>10.768700000000001</v>
      </c>
      <c r="BO58" s="392"/>
    </row>
    <row r="59" spans="1:67" ht="15.95" customHeight="1">
      <c r="A59" s="119">
        <v>311</v>
      </c>
      <c r="B59" s="107" t="s">
        <v>405</v>
      </c>
      <c r="C59" s="114" t="s">
        <v>96</v>
      </c>
      <c r="D59" s="110" t="s">
        <v>710</v>
      </c>
      <c r="E59" s="109" t="s">
        <v>113</v>
      </c>
      <c r="F59" s="111" t="s">
        <v>9</v>
      </c>
      <c r="G59" s="112" t="s">
        <v>10</v>
      </c>
      <c r="H59" s="112" t="s">
        <v>541</v>
      </c>
      <c r="I59" s="112" t="s">
        <v>539</v>
      </c>
      <c r="J59" s="112" t="s">
        <v>270</v>
      </c>
      <c r="K59" s="224"/>
      <c r="L59" s="228"/>
      <c r="M59" s="221"/>
      <c r="N59" s="124">
        <v>12.4</v>
      </c>
      <c r="O59" s="124">
        <v>-0.4</v>
      </c>
      <c r="P59" s="124">
        <v>14.1</v>
      </c>
      <c r="Q59" s="124">
        <v>13.3</v>
      </c>
      <c r="R59" s="124">
        <v>2.2999999999999998</v>
      </c>
      <c r="S59" s="124">
        <v>-2.2000000000000002</v>
      </c>
      <c r="T59" s="124">
        <v>10.199999999999999</v>
      </c>
      <c r="U59" s="124">
        <v>3.5</v>
      </c>
      <c r="V59" s="124">
        <v>12.7</v>
      </c>
      <c r="W59" s="124">
        <v>31.2</v>
      </c>
      <c r="X59" s="124">
        <v>5.2</v>
      </c>
      <c r="Y59" s="124">
        <v>-7.7</v>
      </c>
      <c r="Z59" s="124">
        <v>6.6</v>
      </c>
      <c r="AA59" s="124">
        <v>5.7</v>
      </c>
      <c r="AB59" s="124">
        <v>-1.8</v>
      </c>
      <c r="AC59" s="124">
        <v>8.8000000000000007</v>
      </c>
      <c r="AD59" s="124">
        <v>-2.2000000000000002</v>
      </c>
      <c r="AE59" s="124">
        <v>-2.4</v>
      </c>
      <c r="AF59" s="124">
        <v>6.7</v>
      </c>
      <c r="AG59" s="124">
        <v>5.7</v>
      </c>
      <c r="AH59" s="123">
        <v>-1.6</v>
      </c>
      <c r="AI59" s="125">
        <v>9.4</v>
      </c>
      <c r="AJ59" s="124">
        <v>-2.7</v>
      </c>
      <c r="AK59" s="124">
        <v>2</v>
      </c>
      <c r="AL59" s="123">
        <v>4.5999999999999996</v>
      </c>
      <c r="AM59" s="123">
        <v>5.1000000000005503</v>
      </c>
      <c r="AN59" s="124">
        <v>-7</v>
      </c>
      <c r="AO59" s="122">
        <v>9.4</v>
      </c>
      <c r="AP59" s="126">
        <v>4.5</v>
      </c>
      <c r="AQ59" s="135" t="s">
        <v>637</v>
      </c>
      <c r="AR59" s="122">
        <v>2.0000000000006701</v>
      </c>
      <c r="AS59" s="139" t="s">
        <v>1068</v>
      </c>
      <c r="AT59" s="122"/>
      <c r="AU59" s="122">
        <v>0</v>
      </c>
      <c r="AV59" s="126">
        <v>1.9</v>
      </c>
      <c r="AW59" s="125">
        <v>-1.2</v>
      </c>
      <c r="AX59" s="125">
        <v>7.9</v>
      </c>
      <c r="AY59" s="139" t="s">
        <v>1070</v>
      </c>
      <c r="AZ59" s="122"/>
      <c r="BA59" s="460"/>
      <c r="BB59" s="122"/>
      <c r="BC59" s="122">
        <v>0.5</v>
      </c>
      <c r="BD59" s="139" t="s">
        <v>1382</v>
      </c>
      <c r="BE59" s="122" t="str">
        <f ca="1">INDIRECT(ADDRESS(MATCH($B59,'【別紙1】標高（入力）'!$B:$B,0),'【別紙1】標高（入力）'!AE$2,4,TRUE,"【別紙1】標高（入力）"))</f>
        <v/>
      </c>
      <c r="BF59" s="122" t="str">
        <f ca="1">INDIRECT(ADDRESS(MATCH($B59,'【別紙1】標高（入力）'!$B:$B,0),'【別紙1】標高（入力）'!AF$2,4,TRUE,"【別紙1】標高（入力）"))</f>
        <v/>
      </c>
      <c r="BG59" s="122" t="str">
        <f ca="1">INDIRECT(ADDRESS(MATCH($B59,'【別紙1】標高（入力）'!$B:$B,0),'【別紙1】標高（入力）'!AG$2,4,TRUE,"【別紙1】標高（入力）"))</f>
        <v/>
      </c>
      <c r="BH59" s="121">
        <f ca="1">INDIRECT(ADDRESS(MATCH($B59,'【別紙1】標高（入力）'!$B:$B,0),'【別紙1】標高（入力）'!AH$2,4,TRUE,"【別紙1】標高（入力）"))</f>
        <v>11.700000000001154</v>
      </c>
      <c r="BI59" s="121">
        <f ca="1">INDIRECT(ADDRESS(MATCH($B59,'【別紙1】標高（入力）'!$B:$B,0),'【別紙1】標高（入力）'!AI$2,4,TRUE,"【別紙1】標高（入力）"))</f>
        <v>5.3999999999998494</v>
      </c>
      <c r="BJ59" s="624" t="str">
        <f ca="1">INDIRECT(ADDRESS(MATCH($B59,'【別紙1】標高（入力）'!$B:$B,0),'【別紙1】標高（入力）'!AJ$2,4,TRUE,"【別紙1】標高（入力）"))</f>
        <v/>
      </c>
      <c r="BK59" s="598">
        <f t="shared" ca="1" si="16"/>
        <v>5.3999999999998494</v>
      </c>
      <c r="BL59" s="604">
        <f t="shared" ca="1" si="17"/>
        <v>173.6000000000023</v>
      </c>
      <c r="BM59" s="602" t="str">
        <f ca="1">INDIRECT(ADDRESS(MATCH($B59,'【別紙1】標高（入力）'!$B:$B,0),'【別紙1】標高（入力）'!$N$2,4,TRUE,"【別紙1】標高（入力）"))</f>
        <v>R5</v>
      </c>
      <c r="BN59" s="342">
        <f ca="1">INDIRECT(ADDRESS(MATCH($B59,'【別紙1】標高（入力）'!$B:$B,0),'【別紙1】標高（入力）'!$O$2,4,TRUE,"【別紙1】標高（入力）"))</f>
        <v>10.1693</v>
      </c>
      <c r="BO59" s="392"/>
    </row>
    <row r="60" spans="1:67" ht="15.95" customHeight="1">
      <c r="A60" s="119">
        <v>312</v>
      </c>
      <c r="B60" s="107" t="s">
        <v>436</v>
      </c>
      <c r="C60" s="114" t="s">
        <v>96</v>
      </c>
      <c r="D60" s="110" t="s">
        <v>559</v>
      </c>
      <c r="E60" s="109" t="s">
        <v>114</v>
      </c>
      <c r="F60" s="111" t="s">
        <v>9</v>
      </c>
      <c r="G60" s="112" t="s">
        <v>10</v>
      </c>
      <c r="H60" s="112" t="s">
        <v>541</v>
      </c>
      <c r="I60" s="112" t="s">
        <v>284</v>
      </c>
      <c r="J60" s="112" t="s">
        <v>270</v>
      </c>
      <c r="K60" s="224"/>
      <c r="L60" s="228"/>
      <c r="M60" s="221"/>
      <c r="N60" s="124">
        <v>6.3</v>
      </c>
      <c r="O60" s="136" t="s">
        <v>636</v>
      </c>
      <c r="P60" s="127">
        <v>19.399999999999999</v>
      </c>
      <c r="Q60" s="124">
        <v>9.1</v>
      </c>
      <c r="R60" s="124">
        <v>3.5</v>
      </c>
      <c r="S60" s="124">
        <v>1.7</v>
      </c>
      <c r="T60" s="124">
        <v>6</v>
      </c>
      <c r="U60" s="124">
        <v>4.4000000000000004</v>
      </c>
      <c r="V60" s="124">
        <v>5</v>
      </c>
      <c r="W60" s="124">
        <v>11.3</v>
      </c>
      <c r="X60" s="124">
        <v>-0.5</v>
      </c>
      <c r="Y60" s="124">
        <v>-10.5</v>
      </c>
      <c r="Z60" s="124">
        <v>11.6</v>
      </c>
      <c r="AA60" s="124">
        <v>5.7</v>
      </c>
      <c r="AB60" s="124">
        <v>-0.4</v>
      </c>
      <c r="AC60" s="124">
        <v>10.199999999999999</v>
      </c>
      <c r="AD60" s="124">
        <v>-0.4</v>
      </c>
      <c r="AE60" s="124">
        <v>0.2</v>
      </c>
      <c r="AF60" s="124">
        <v>6.6</v>
      </c>
      <c r="AG60" s="124">
        <v>6.5</v>
      </c>
      <c r="AH60" s="123">
        <v>-5.2</v>
      </c>
      <c r="AI60" s="125">
        <v>10.8</v>
      </c>
      <c r="AJ60" s="124">
        <v>-1.8</v>
      </c>
      <c r="AK60" s="124">
        <v>-0.2</v>
      </c>
      <c r="AL60" s="123">
        <v>7.8</v>
      </c>
      <c r="AM60" s="123">
        <v>2.9000000000003499</v>
      </c>
      <c r="AN60" s="124">
        <v>-6.6</v>
      </c>
      <c r="AO60" s="122">
        <v>12.4</v>
      </c>
      <c r="AP60" s="126">
        <v>5.3</v>
      </c>
      <c r="AQ60" s="139" t="s">
        <v>1068</v>
      </c>
      <c r="AR60" s="122"/>
      <c r="AS60" s="121">
        <v>5.2</v>
      </c>
      <c r="AT60" s="125">
        <v>5.0999999999999996</v>
      </c>
      <c r="AU60" s="139" t="s">
        <v>1070</v>
      </c>
      <c r="AV60" s="122"/>
      <c r="AW60" s="122"/>
      <c r="AX60" s="122"/>
      <c r="AY60" s="122">
        <v>8.5</v>
      </c>
      <c r="AZ60" s="139" t="s">
        <v>1070</v>
      </c>
      <c r="BA60" s="460"/>
      <c r="BB60" s="122"/>
      <c r="BC60" s="122"/>
      <c r="BD60" s="122">
        <f ca="1">INDIRECT(ADDRESS(MATCH($B60,'【別紙1】標高（入力）'!$B:$B,0),'【別紙1】標高（入力）'!AD$2,4,TRUE,"【別紙1】標高（入力）"))</f>
        <v>-0.50000000000061107</v>
      </c>
      <c r="BE60" s="139" t="s">
        <v>1336</v>
      </c>
      <c r="BF60" s="122" t="str">
        <f ca="1">INDIRECT(ADDRESS(MATCH($B60,'【別紙1】標高（入力）'!$B:$B,0),'【別紙1】標高（入力）'!AF$2,4,TRUE,"【別紙1】標高（入力）"))</f>
        <v/>
      </c>
      <c r="BG60" s="122" t="str">
        <f ca="1">INDIRECT(ADDRESS(MATCH($B60,'【別紙1】標高（入力）'!$B:$B,0),'【別紙1】標高（入力）'!AG$2,4,TRUE,"【別紙1】標高（入力）"))</f>
        <v/>
      </c>
      <c r="BH60" s="122" t="str">
        <f ca="1">INDIRECT(ADDRESS(MATCH($B60,'【別紙1】標高（入力）'!$B:$B,0),'【別紙1】標高（入力）'!AH$2,4,TRUE,"【別紙1】標高（入力）"))</f>
        <v/>
      </c>
      <c r="BI60" s="121">
        <f ca="1">INDIRECT(ADDRESS(MATCH($B60,'【別紙1】標高（入力）'!$B:$B,0),'【別紙1】標高（入力）'!AI$2,4,TRUE,"【別紙1】標高（入力）"))</f>
        <v>9.700000000000486</v>
      </c>
      <c r="BJ60" s="567" t="str">
        <f ca="1">INDIRECT(ADDRESS(MATCH($B60,'【別紙1】標高（入力）'!$B:$B,0),'【別紙1】標高（入力）'!AJ$2,4,TRUE,"【別紙1】標高（入力）"))</f>
        <v/>
      </c>
      <c r="BK60" s="598" t="str">
        <f t="shared" ca="1" si="16"/>
        <v>-</v>
      </c>
      <c r="BL60" s="604">
        <f t="shared" ca="1" si="17"/>
        <v>149.10000000000025</v>
      </c>
      <c r="BM60" s="600" t="str">
        <f ca="1">INDIRECT(ADDRESS(MATCH($B60,'【別紙1】標高（入力）'!$B:$B,0),'【別紙1】標高（入力）'!$N$2,4,TRUE,"【別紙1】標高（入力）"))</f>
        <v>R5</v>
      </c>
      <c r="BN60" s="340">
        <f ca="1">INDIRECT(ADDRESS(MATCH($B60,'【別紙1】標高（入力）'!$B:$B,0),'【別紙1】標高（入力）'!$O$2,4,TRUE,"【別紙1】標高（入力）"))</f>
        <v>11.8337</v>
      </c>
      <c r="BO60" s="392"/>
    </row>
    <row r="61" spans="1:67" ht="15.95" customHeight="1">
      <c r="A61" s="119">
        <v>313</v>
      </c>
      <c r="B61" s="107" t="s">
        <v>407</v>
      </c>
      <c r="C61" s="114" t="s">
        <v>96</v>
      </c>
      <c r="D61" s="110" t="s">
        <v>700</v>
      </c>
      <c r="E61" s="109" t="s">
        <v>116</v>
      </c>
      <c r="F61" s="111" t="s">
        <v>9</v>
      </c>
      <c r="G61" s="112" t="s">
        <v>10</v>
      </c>
      <c r="H61" s="112" t="s">
        <v>541</v>
      </c>
      <c r="I61" s="112" t="s">
        <v>54</v>
      </c>
      <c r="J61" s="112" t="s">
        <v>270</v>
      </c>
      <c r="K61" s="224"/>
      <c r="L61" s="228"/>
      <c r="M61" s="221"/>
      <c r="N61" s="124">
        <v>16.5</v>
      </c>
      <c r="O61" s="124">
        <v>1.4</v>
      </c>
      <c r="P61" s="124">
        <v>53.8</v>
      </c>
      <c r="Q61" s="124">
        <v>75.400000000000006</v>
      </c>
      <c r="R61" s="124">
        <v>18.7</v>
      </c>
      <c r="S61" s="124">
        <v>12.3</v>
      </c>
      <c r="T61" s="124">
        <v>43.5</v>
      </c>
      <c r="U61" s="124">
        <v>51.6</v>
      </c>
      <c r="V61" s="123">
        <v>67.5</v>
      </c>
      <c r="W61" s="415" t="s">
        <v>47</v>
      </c>
      <c r="X61" s="413" t="s">
        <v>1270</v>
      </c>
      <c r="Y61" s="135" t="s">
        <v>652</v>
      </c>
      <c r="Z61" s="122"/>
      <c r="AA61" s="122"/>
      <c r="AB61" s="127">
        <v>47.1</v>
      </c>
      <c r="AC61" s="136" t="s">
        <v>1273</v>
      </c>
      <c r="AD61" s="122"/>
      <c r="AE61" s="127">
        <v>19.5</v>
      </c>
      <c r="AF61" s="136" t="s">
        <v>1273</v>
      </c>
      <c r="AG61" s="122"/>
      <c r="AH61" s="122">
        <v>24.2</v>
      </c>
      <c r="AI61" s="139" t="s">
        <v>685</v>
      </c>
      <c r="AJ61" s="122"/>
      <c r="AK61" s="122"/>
      <c r="AL61" s="122"/>
      <c r="AM61" s="122"/>
      <c r="AN61" s="122">
        <v>33.5</v>
      </c>
      <c r="AO61" s="139" t="s">
        <v>1070</v>
      </c>
      <c r="AP61" s="122"/>
      <c r="AQ61" s="122"/>
      <c r="AR61" s="122"/>
      <c r="AS61" s="121">
        <v>47.5</v>
      </c>
      <c r="AT61" s="126">
        <v>13.3</v>
      </c>
      <c r="AU61" s="135" t="s">
        <v>637</v>
      </c>
      <c r="AV61" s="122">
        <v>40.6</v>
      </c>
      <c r="AW61" s="126">
        <v>16.2</v>
      </c>
      <c r="AX61" s="139" t="s">
        <v>525</v>
      </c>
      <c r="AY61" s="122"/>
      <c r="AZ61" s="121">
        <v>15.6</v>
      </c>
      <c r="BA61" s="458" t="s">
        <v>1070</v>
      </c>
      <c r="BB61" s="122"/>
      <c r="BC61" s="122"/>
      <c r="BD61" s="122" t="str">
        <f ca="1">INDIRECT(ADDRESS(MATCH($B61,'【別紙1】標高（入力）'!$B:$B,0),'【別紙1】標高（入力）'!AD$2,4,TRUE,"【別紙1】標高（入力）"))</f>
        <v/>
      </c>
      <c r="BE61" s="121">
        <f ca="1">INDIRECT(ADDRESS(MATCH($B61,'【別紙1】標高（入力）'!$B:$B,0),'【別紙1】標高（入力）'!AE$2,4,TRUE,"【別紙1】標高（入力）"))</f>
        <v>35.300000000000331</v>
      </c>
      <c r="BF61" s="135" t="s">
        <v>1273</v>
      </c>
      <c r="BG61" s="122" t="str">
        <f ca="1">INDIRECT(ADDRESS(MATCH($B61,'【別紙1】標高（入力）'!$B:$B,0),'【別紙1】標高（入力）'!AG$2,4,TRUE,"【別紙1】標高（入力）"))</f>
        <v/>
      </c>
      <c r="BH61" s="121">
        <f ca="1">INDIRECT(ADDRESS(MATCH($B61,'【別紙1】標高（入力）'!$B:$B,0),'【別紙1】標高（入力）'!AH$2,4,TRUE,"【別紙1】標高（入力）"))</f>
        <v>15.500000000000291</v>
      </c>
      <c r="BI61" s="122"/>
      <c r="BJ61" s="624" t="str">
        <f ca="1">INDIRECT(ADDRESS(MATCH($B61,'【別紙1】標高（入力）'!$B:$B,0),'【別紙1】標高（入力）'!AJ$2,4,TRUE,"【別紙1】標高（入力）"))</f>
        <v/>
      </c>
      <c r="BK61" s="598" t="str">
        <f t="shared" ca="1" si="16"/>
        <v>-</v>
      </c>
      <c r="BL61" s="604">
        <f t="shared" ca="1" si="17"/>
        <v>649.00000000000068</v>
      </c>
      <c r="BM61" s="600" t="str">
        <f ca="1">INDIRECT(ADDRESS(MATCH($B61,'【別紙1】標高（入力）'!$B:$B,0),'【別紙1】標高（入力）'!$N$2,4,TRUE,"【別紙1】標高（入力）"))</f>
        <v>R4</v>
      </c>
      <c r="BN61" s="340">
        <f ca="1">INDIRECT(ADDRESS(MATCH($B61,'【別紙1】標高（入力）'!$B:$B,0),'【別紙1】標高（入力）'!$O$2,4,TRUE,"【別紙1】標高（入力）"))</f>
        <v>6.2317999999999998</v>
      </c>
      <c r="BO61" s="392"/>
    </row>
    <row r="62" spans="1:67" s="231" customFormat="1" ht="15.95" customHeight="1">
      <c r="A62" s="214">
        <v>314</v>
      </c>
      <c r="B62" s="215" t="s">
        <v>437</v>
      </c>
      <c r="C62" s="216" t="s">
        <v>96</v>
      </c>
      <c r="D62" s="217" t="s">
        <v>638</v>
      </c>
      <c r="E62" s="218" t="s">
        <v>299</v>
      </c>
      <c r="F62" s="219" t="s">
        <v>9</v>
      </c>
      <c r="G62" s="220" t="s">
        <v>31</v>
      </c>
      <c r="H62" s="220" t="s">
        <v>541</v>
      </c>
      <c r="I62" s="220" t="s">
        <v>54</v>
      </c>
      <c r="J62" s="220" t="s">
        <v>270</v>
      </c>
      <c r="K62" s="224"/>
      <c r="L62" s="228"/>
      <c r="M62" s="228"/>
      <c r="N62" s="228"/>
      <c r="O62" s="228"/>
      <c r="P62" s="221"/>
      <c r="Q62" s="124">
        <v>15.5</v>
      </c>
      <c r="R62" s="124">
        <v>37.299999999999997</v>
      </c>
      <c r="S62" s="124">
        <v>15.5</v>
      </c>
      <c r="T62" s="124">
        <v>36</v>
      </c>
      <c r="U62" s="124">
        <v>22.6</v>
      </c>
      <c r="V62" s="124">
        <v>45.6</v>
      </c>
      <c r="W62" s="136" t="s">
        <v>679</v>
      </c>
      <c r="X62" s="122"/>
      <c r="Y62" s="122"/>
      <c r="Z62" s="122"/>
      <c r="AA62" s="122"/>
      <c r="AB62" s="127">
        <v>155.5</v>
      </c>
      <c r="AC62" s="136" t="s">
        <v>1273</v>
      </c>
      <c r="AD62" s="122"/>
      <c r="AE62" s="127">
        <v>20.5</v>
      </c>
      <c r="AF62" s="136" t="s">
        <v>1273</v>
      </c>
      <c r="AG62" s="122"/>
      <c r="AH62" s="122">
        <v>41.5</v>
      </c>
      <c r="AI62" s="225" t="s">
        <v>247</v>
      </c>
      <c r="AJ62" s="228"/>
      <c r="AK62" s="228"/>
      <c r="AL62" s="228"/>
      <c r="AM62" s="228"/>
      <c r="AN62" s="232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462"/>
      <c r="BB62" s="228"/>
      <c r="BC62" s="228"/>
      <c r="BD62" s="228"/>
      <c r="BE62" s="228"/>
      <c r="BF62" s="228"/>
      <c r="BG62" s="228"/>
      <c r="BH62" s="228"/>
      <c r="BI62" s="228"/>
      <c r="BJ62" s="625" t="str">
        <f ca="1">INDIRECT(ADDRESS(MATCH($B62,'【別紙1】標高（入力）'!$B:$B,0),'【別紙1】標高（入力）'!AJ$2,4,TRUE,"【別紙1】標高（入力）"))</f>
        <v/>
      </c>
      <c r="BK62" s="599" t="str">
        <f t="shared" si="0"/>
        <v>-</v>
      </c>
      <c r="BL62" s="605">
        <f t="shared" si="1"/>
        <v>390</v>
      </c>
      <c r="BM62" s="603" t="s">
        <v>529</v>
      </c>
      <c r="BN62" s="344" t="s">
        <v>529</v>
      </c>
      <c r="BO62" s="393" t="s">
        <v>723</v>
      </c>
    </row>
    <row r="63" spans="1:67" ht="15.95" customHeight="1">
      <c r="A63" s="119">
        <v>315</v>
      </c>
      <c r="B63" s="107" t="s">
        <v>439</v>
      </c>
      <c r="C63" s="114" t="s">
        <v>96</v>
      </c>
      <c r="D63" s="110" t="s">
        <v>329</v>
      </c>
      <c r="E63" s="109" t="s">
        <v>299</v>
      </c>
      <c r="F63" s="111" t="s">
        <v>9</v>
      </c>
      <c r="G63" s="112" t="s">
        <v>31</v>
      </c>
      <c r="H63" s="112" t="s">
        <v>64</v>
      </c>
      <c r="I63" s="112" t="s">
        <v>539</v>
      </c>
      <c r="J63" s="112" t="s">
        <v>270</v>
      </c>
      <c r="K63" s="224"/>
      <c r="L63" s="228"/>
      <c r="M63" s="228"/>
      <c r="N63" s="228"/>
      <c r="O63" s="228"/>
      <c r="P63" s="221"/>
      <c r="Q63" s="124">
        <v>16.899999999999999</v>
      </c>
      <c r="R63" s="124">
        <v>3.7</v>
      </c>
      <c r="S63" s="124">
        <v>-6.9</v>
      </c>
      <c r="T63" s="124">
        <v>5.3</v>
      </c>
      <c r="U63" s="124">
        <v>-1</v>
      </c>
      <c r="V63" s="124">
        <v>4.7</v>
      </c>
      <c r="W63" s="136" t="s">
        <v>679</v>
      </c>
      <c r="X63" s="122"/>
      <c r="Y63" s="122"/>
      <c r="Z63" s="122"/>
      <c r="AA63" s="122"/>
      <c r="AB63" s="127">
        <v>54.9</v>
      </c>
      <c r="AC63" s="136" t="s">
        <v>1273</v>
      </c>
      <c r="AD63" s="122"/>
      <c r="AE63" s="127">
        <v>13.4</v>
      </c>
      <c r="AF63" s="136" t="s">
        <v>1273</v>
      </c>
      <c r="AG63" s="122"/>
      <c r="AH63" s="122">
        <v>14.7</v>
      </c>
      <c r="AI63" s="139" t="s">
        <v>685</v>
      </c>
      <c r="AJ63" s="122"/>
      <c r="AK63" s="122"/>
      <c r="AL63" s="122"/>
      <c r="AM63" s="122"/>
      <c r="AN63" s="121">
        <v>16.7</v>
      </c>
      <c r="AO63" s="139" t="s">
        <v>1070</v>
      </c>
      <c r="AP63" s="122"/>
      <c r="AQ63" s="122"/>
      <c r="AR63" s="122"/>
      <c r="AS63" s="121">
        <v>22.3</v>
      </c>
      <c r="AT63" s="122">
        <v>2.5</v>
      </c>
      <c r="AU63" s="125">
        <v>-0.6</v>
      </c>
      <c r="AV63" s="125">
        <v>4.7</v>
      </c>
      <c r="AW63" s="139" t="s">
        <v>526</v>
      </c>
      <c r="AX63" s="122"/>
      <c r="AY63" s="122"/>
      <c r="AZ63" s="121">
        <v>1.8</v>
      </c>
      <c r="BA63" s="458" t="s">
        <v>1070</v>
      </c>
      <c r="BB63" s="122"/>
      <c r="BC63" s="122"/>
      <c r="BD63" s="122" t="str">
        <f ca="1">INDIRECT(ADDRESS(MATCH($B63,'【別紙1】標高（入力）'!$B:$B,0),'【別紙1】標高（入力）'!AD$2,4,TRUE,"【別紙1】標高（入力）"))</f>
        <v/>
      </c>
      <c r="BE63" s="121">
        <f ca="1">INDIRECT(ADDRESS(MATCH($B63,'【別紙1】標高（入力）'!$B:$B,0),'【別紙1】標高（入力）'!AE$2,4,TRUE,"【別紙1】標高（入力）"))</f>
        <v>14.000000000000234</v>
      </c>
      <c r="BF63" s="122" t="str">
        <f ca="1">INDIRECT(ADDRESS(MATCH($B63,'【別紙1】標高（入力）'!$B:$B,0),'【別紙1】標高（入力）'!AF$2,4,TRUE,"【別紙1】標高（入力）"))</f>
        <v/>
      </c>
      <c r="BG63" s="122" t="str">
        <f ca="1">INDIRECT(ADDRESS(MATCH($B63,'【別紙1】標高（入力）'!$B:$B,0),'【別紙1】標高（入力）'!AG$2,4,TRUE,"【別紙1】標高（入力）"))</f>
        <v/>
      </c>
      <c r="BH63" s="122" t="str">
        <f ca="1">INDIRECT(ADDRESS(MATCH($B63,'【別紙1】標高（入力）'!$B:$B,0),'【別紙1】標高（入力）'!AH$2,4,TRUE,"【別紙1】標高（入力）"))</f>
        <v/>
      </c>
      <c r="BI63" s="122"/>
      <c r="BJ63" s="624" t="str">
        <f ca="1">INDIRECT(ADDRESS(MATCH($B63,'【別紙1】標高（入力）'!$B:$B,0),'【別紙1】標高（入力）'!AJ$2,4,TRUE,"【別紙1】標高（入力）"))</f>
        <v/>
      </c>
      <c r="BK63" s="598" t="str">
        <f t="shared" ref="BK63:BK64" ca="1" si="18">IF(AND(ISNUMBER(BI63)*1,ISNUMBER(BH63)*1),BI63,"-")</f>
        <v>-</v>
      </c>
      <c r="BL63" s="604">
        <f t="shared" ref="BL63:BL64" ca="1" si="19">SUM(K63:BI63)</f>
        <v>167.10000000000025</v>
      </c>
      <c r="BM63" s="600" t="str">
        <f ca="1">INDIRECT(ADDRESS(MATCH($B63,'【別紙1】標高（入力）'!$B:$B,0),'【別紙1】標高（入力）'!$N$2,4,TRUE,"【別紙1】標高（入力）"))</f>
        <v>R1</v>
      </c>
      <c r="BN63" s="340">
        <f ca="1">INDIRECT(ADDRESS(MATCH($B63,'【別紙1】標高（入力）'!$B:$B,0),'【別紙1】標高（入力）'!$O$2,4,TRUE,"【別紙1】標高（入力）"))</f>
        <v>4.1002999999999998</v>
      </c>
      <c r="BO63" s="392"/>
    </row>
    <row r="64" spans="1:67" ht="15.95" customHeight="1">
      <c r="A64" s="119">
        <v>316</v>
      </c>
      <c r="B64" s="107" t="s">
        <v>441</v>
      </c>
      <c r="C64" s="114" t="s">
        <v>96</v>
      </c>
      <c r="D64" s="110" t="s">
        <v>329</v>
      </c>
      <c r="E64" s="109" t="s">
        <v>1417</v>
      </c>
      <c r="F64" s="111" t="s">
        <v>9</v>
      </c>
      <c r="G64" s="112" t="s">
        <v>31</v>
      </c>
      <c r="H64" s="112" t="s">
        <v>64</v>
      </c>
      <c r="I64" s="112" t="s">
        <v>539</v>
      </c>
      <c r="J64" s="112" t="s">
        <v>270</v>
      </c>
      <c r="K64" s="224"/>
      <c r="L64" s="228"/>
      <c r="M64" s="228"/>
      <c r="N64" s="228"/>
      <c r="O64" s="228"/>
      <c r="P64" s="221"/>
      <c r="Q64" s="124">
        <v>43.2</v>
      </c>
      <c r="R64" s="124">
        <v>26.8</v>
      </c>
      <c r="S64" s="124">
        <v>-6.4</v>
      </c>
      <c r="T64" s="124">
        <v>17.399999999999999</v>
      </c>
      <c r="U64" s="123">
        <v>14.1</v>
      </c>
      <c r="V64" s="411" t="s">
        <v>1270</v>
      </c>
      <c r="W64" s="228"/>
      <c r="X64" s="228"/>
      <c r="Y64" s="221"/>
      <c r="Z64" s="233" t="s">
        <v>20</v>
      </c>
      <c r="AA64" s="228"/>
      <c r="AB64" s="228"/>
      <c r="AC64" s="228"/>
      <c r="AD64" s="228"/>
      <c r="AE64" s="228"/>
      <c r="AF64" s="228"/>
      <c r="AG64" s="228"/>
      <c r="AH64" s="228"/>
      <c r="AI64" s="138" t="s">
        <v>260</v>
      </c>
      <c r="AJ64" s="228"/>
      <c r="AK64" s="228"/>
      <c r="AL64" s="228"/>
      <c r="AM64" s="228"/>
      <c r="AN64" s="138" t="s">
        <v>256</v>
      </c>
      <c r="AO64" s="139" t="s">
        <v>1070</v>
      </c>
      <c r="AP64" s="122"/>
      <c r="AQ64" s="122"/>
      <c r="AR64" s="122"/>
      <c r="AS64" s="121">
        <v>24.8</v>
      </c>
      <c r="AT64" s="122">
        <v>5.3</v>
      </c>
      <c r="AU64" s="125">
        <v>-1.8</v>
      </c>
      <c r="AV64" s="139" t="s">
        <v>527</v>
      </c>
      <c r="AW64" s="122"/>
      <c r="AX64" s="122"/>
      <c r="AY64" s="122"/>
      <c r="AZ64" s="121">
        <v>2.8</v>
      </c>
      <c r="BA64" s="458" t="s">
        <v>1070</v>
      </c>
      <c r="BB64" s="122"/>
      <c r="BC64" s="122"/>
      <c r="BD64" s="122" t="str">
        <f ca="1">INDIRECT(ADDRESS(MATCH($B64,'【別紙1】標高（入力）'!$B:$B,0),'【別紙1】標高（入力）'!AD$2,4,TRUE,"【別紙1】標高（入力）"))</f>
        <v/>
      </c>
      <c r="BE64" s="121">
        <f ca="1">INDIRECT(ADDRESS(MATCH($B64,'【別紙1】標高（入力）'!$B:$B,0),'【別紙1】標高（入力）'!AE$2,4,TRUE,"【別紙1】標高（入力）"))</f>
        <v>21.900000000000475</v>
      </c>
      <c r="BF64" s="122" t="str">
        <f ca="1">INDIRECT(ADDRESS(MATCH($B64,'【別紙1】標高（入力）'!$B:$B,0),'【別紙1】標高（入力）'!AF$2,4,TRUE,"【別紙1】標高（入力）"))</f>
        <v/>
      </c>
      <c r="BG64" s="122" t="str">
        <f ca="1">INDIRECT(ADDRESS(MATCH($B64,'【別紙1】標高（入力）'!$B:$B,0),'【別紙1】標高（入力）'!AG$2,4,TRUE,"【別紙1】標高（入力）"))</f>
        <v/>
      </c>
      <c r="BH64" s="122" t="str">
        <f ca="1">INDIRECT(ADDRESS(MATCH($B64,'【別紙1】標高（入力）'!$B:$B,0),'【別紙1】標高（入力）'!AH$2,4,TRUE,"【別紙1】標高（入力）"))</f>
        <v/>
      </c>
      <c r="BI64" s="122"/>
      <c r="BJ64" s="624" t="str">
        <f ca="1">INDIRECT(ADDRESS(MATCH($B64,'【別紙1】標高（入力）'!$B:$B,0),'【別紙1】標高（入力）'!AJ$2,4,TRUE,"【別紙1】標高（入力）"))</f>
        <v/>
      </c>
      <c r="BK64" s="598" t="str">
        <f t="shared" ca="1" si="18"/>
        <v>-</v>
      </c>
      <c r="BL64" s="604">
        <f t="shared" ca="1" si="19"/>
        <v>148.10000000000048</v>
      </c>
      <c r="BM64" s="600" t="str">
        <f ca="1">INDIRECT(ADDRESS(MATCH($B64,'【別紙1】標高（入力）'!$B:$B,0),'【別紙1】標高（入力）'!$N$2,4,TRUE,"【別紙1】標高（入力）"))</f>
        <v>R1</v>
      </c>
      <c r="BN64" s="340">
        <f ca="1">INDIRECT(ADDRESS(MATCH($B64,'【別紙1】標高（入力）'!$B:$B,0),'【別紙1】標高（入力）'!$O$2,4,TRUE,"【別紙1】標高（入力）"))</f>
        <v>4.4231999999999996</v>
      </c>
      <c r="BO64" s="392"/>
    </row>
    <row r="65" spans="1:67" s="231" customFormat="1" ht="15.95" customHeight="1">
      <c r="A65" s="214">
        <v>317</v>
      </c>
      <c r="B65" s="595">
        <v>4603</v>
      </c>
      <c r="C65" s="216" t="s">
        <v>96</v>
      </c>
      <c r="D65" s="217" t="s">
        <v>572</v>
      </c>
      <c r="E65" s="218" t="s">
        <v>119</v>
      </c>
      <c r="F65" s="219" t="s">
        <v>12</v>
      </c>
      <c r="G65" s="220" t="s">
        <v>10</v>
      </c>
      <c r="H65" s="220" t="s">
        <v>541</v>
      </c>
      <c r="I65" s="220" t="s">
        <v>539</v>
      </c>
      <c r="J65" s="410" t="s">
        <v>270</v>
      </c>
      <c r="K65" s="228"/>
      <c r="L65" s="228"/>
      <c r="M65" s="221"/>
      <c r="N65" s="124">
        <v>11.4</v>
      </c>
      <c r="O65" s="136" t="s">
        <v>636</v>
      </c>
      <c r="P65" s="127">
        <v>5.3</v>
      </c>
      <c r="Q65" s="124">
        <v>12.8</v>
      </c>
      <c r="R65" s="124">
        <v>2.7</v>
      </c>
      <c r="S65" s="124">
        <v>2.4</v>
      </c>
      <c r="T65" s="124">
        <v>10.8</v>
      </c>
      <c r="U65" s="124">
        <v>3.2</v>
      </c>
      <c r="V65" s="124">
        <v>5.5</v>
      </c>
      <c r="W65" s="124">
        <v>14</v>
      </c>
      <c r="X65" s="124">
        <v>0.3</v>
      </c>
      <c r="Y65" s="136" t="s">
        <v>652</v>
      </c>
      <c r="Z65" s="122"/>
      <c r="AA65" s="122"/>
      <c r="AB65" s="127">
        <v>17.600000000000001</v>
      </c>
      <c r="AC65" s="136" t="s">
        <v>1273</v>
      </c>
      <c r="AD65" s="122"/>
      <c r="AE65" s="127">
        <v>7.7</v>
      </c>
      <c r="AF65" s="136" t="s">
        <v>1273</v>
      </c>
      <c r="AG65" s="122"/>
      <c r="AH65" s="122">
        <v>15.4</v>
      </c>
      <c r="AI65" s="139" t="s">
        <v>525</v>
      </c>
      <c r="AJ65" s="122"/>
      <c r="AK65" s="121">
        <v>10.4</v>
      </c>
      <c r="AL65" s="135" t="s">
        <v>525</v>
      </c>
      <c r="AM65" s="122"/>
      <c r="AN65" s="121">
        <v>16.2</v>
      </c>
      <c r="AO65" s="139" t="s">
        <v>1070</v>
      </c>
      <c r="AP65" s="122"/>
      <c r="AQ65" s="122"/>
      <c r="AR65" s="122"/>
      <c r="AS65" s="121">
        <v>31.5</v>
      </c>
      <c r="AT65" s="125">
        <v>6</v>
      </c>
      <c r="AU65" s="225"/>
      <c r="AV65" s="228"/>
      <c r="AW65" s="228"/>
      <c r="AX65" s="228"/>
      <c r="AY65" s="228"/>
      <c r="AZ65" s="232"/>
      <c r="BA65" s="462"/>
      <c r="BB65" s="228"/>
      <c r="BC65" s="228"/>
      <c r="BD65" s="228"/>
      <c r="BE65" s="228"/>
      <c r="BF65" s="228"/>
      <c r="BG65" s="228"/>
      <c r="BH65" s="228"/>
      <c r="BI65" s="228"/>
      <c r="BJ65" s="625" t="str">
        <f ca="1">INDIRECT(ADDRESS(MATCH($B65,'【別紙1】標高（入力）'!$B:$B,0),'【別紙1】標高（入力）'!AJ$2,4,TRUE,"【別紙1】標高（入力）"))</f>
        <v/>
      </c>
      <c r="BK65" s="599" t="str">
        <f t="shared" si="0"/>
        <v>-</v>
      </c>
      <c r="BL65" s="605">
        <f t="shared" si="1"/>
        <v>173.20000000000002</v>
      </c>
      <c r="BM65" s="601" t="str">
        <f ca="1">INDIRECT(ADDRESS(MATCH($B65,'【別紙1】標高（入力）'!$B:$B,0),'【別紙1】標高（入力）'!$N$2,4,TRUE,"【別紙1】標高（入力）"))</f>
        <v>H20</v>
      </c>
      <c r="BN65" s="341">
        <f ca="1">INDIRECT(ADDRESS(MATCH($B65,'【別紙1】標高（入力）'!$B:$B,0),'【別紙1】標高（入力）'!$O$2,4,TRUE,"【別紙1】標高（入力）"))</f>
        <v>11.1305</v>
      </c>
      <c r="BO65" s="393" t="s">
        <v>524</v>
      </c>
    </row>
    <row r="66" spans="1:67" s="231" customFormat="1" ht="15.95" customHeight="1">
      <c r="A66" s="214">
        <v>318</v>
      </c>
      <c r="B66" s="595">
        <v>4604</v>
      </c>
      <c r="C66" s="216" t="s">
        <v>96</v>
      </c>
      <c r="D66" s="217" t="s">
        <v>329</v>
      </c>
      <c r="E66" s="218" t="s">
        <v>299</v>
      </c>
      <c r="F66" s="219" t="s">
        <v>12</v>
      </c>
      <c r="G66" s="220" t="s">
        <v>10</v>
      </c>
      <c r="H66" s="220" t="s">
        <v>64</v>
      </c>
      <c r="I66" s="220" t="s">
        <v>539</v>
      </c>
      <c r="J66" s="410" t="s">
        <v>270</v>
      </c>
      <c r="K66" s="228"/>
      <c r="L66" s="228"/>
      <c r="M66" s="221"/>
      <c r="N66" s="124">
        <v>17.7</v>
      </c>
      <c r="O66" s="124">
        <v>-6</v>
      </c>
      <c r="P66" s="124">
        <v>20.7</v>
      </c>
      <c r="Q66" s="124">
        <v>15.5</v>
      </c>
      <c r="R66" s="124">
        <v>-0.8</v>
      </c>
      <c r="S66" s="124">
        <v>5.6</v>
      </c>
      <c r="T66" s="124">
        <v>14</v>
      </c>
      <c r="U66" s="124">
        <v>9</v>
      </c>
      <c r="V66" s="124">
        <v>10.7</v>
      </c>
      <c r="W66" s="124">
        <v>19.5</v>
      </c>
      <c r="X66" s="124">
        <v>2</v>
      </c>
      <c r="Y66" s="136" t="s">
        <v>120</v>
      </c>
      <c r="Z66" s="122"/>
      <c r="AA66" s="122"/>
      <c r="AB66" s="122"/>
      <c r="AC66" s="135"/>
      <c r="AD66" s="122"/>
      <c r="AE66" s="122"/>
      <c r="AF66" s="122"/>
      <c r="AG66" s="122"/>
      <c r="AH66" s="121">
        <v>77.2</v>
      </c>
      <c r="AI66" s="225"/>
      <c r="AJ66" s="228"/>
      <c r="AK66" s="228"/>
      <c r="AL66" s="228"/>
      <c r="AM66" s="228"/>
      <c r="AN66" s="232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32"/>
      <c r="BA66" s="462"/>
      <c r="BB66" s="228"/>
      <c r="BC66" s="228"/>
      <c r="BD66" s="228"/>
      <c r="BE66" s="228"/>
      <c r="BF66" s="228"/>
      <c r="BG66" s="228"/>
      <c r="BH66" s="228"/>
      <c r="BI66" s="228"/>
      <c r="BJ66" s="625" t="str">
        <f ca="1">INDIRECT(ADDRESS(MATCH($B66,'【別紙1】標高（入力）'!$B:$B,0),'【別紙1】標高（入力）'!AJ$2,4,TRUE,"【別紙1】標高（入力）"))</f>
        <v/>
      </c>
      <c r="BK66" s="599" t="str">
        <f t="shared" si="0"/>
        <v>-</v>
      </c>
      <c r="BL66" s="605">
        <f t="shared" si="1"/>
        <v>185.10000000000002</v>
      </c>
      <c r="BM66" s="603" t="s">
        <v>529</v>
      </c>
      <c r="BN66" s="344" t="s">
        <v>529</v>
      </c>
      <c r="BO66" s="393" t="s">
        <v>724</v>
      </c>
    </row>
    <row r="67" spans="1:67" ht="15.95" customHeight="1">
      <c r="A67" s="119">
        <v>319</v>
      </c>
      <c r="B67" s="591">
        <v>4605</v>
      </c>
      <c r="C67" s="114" t="s">
        <v>96</v>
      </c>
      <c r="D67" s="110" t="s">
        <v>329</v>
      </c>
      <c r="E67" s="109" t="s">
        <v>299</v>
      </c>
      <c r="F67" s="111" t="s">
        <v>12</v>
      </c>
      <c r="G67" s="112" t="s">
        <v>31</v>
      </c>
      <c r="H67" s="112" t="s">
        <v>64</v>
      </c>
      <c r="I67" s="112" t="s">
        <v>539</v>
      </c>
      <c r="J67" s="112" t="s">
        <v>270</v>
      </c>
      <c r="K67" s="224"/>
      <c r="L67" s="228"/>
      <c r="M67" s="228"/>
      <c r="N67" s="228"/>
      <c r="O67" s="228"/>
      <c r="P67" s="221"/>
      <c r="Q67" s="124">
        <v>16.600000000000001</v>
      </c>
      <c r="R67" s="124">
        <v>4.5999999999999996</v>
      </c>
      <c r="S67" s="124">
        <v>5.0999999999999996</v>
      </c>
      <c r="T67" s="124">
        <v>16.2</v>
      </c>
      <c r="U67" s="136" t="s">
        <v>636</v>
      </c>
      <c r="V67" s="127">
        <v>14.4</v>
      </c>
      <c r="W67" s="136" t="s">
        <v>95</v>
      </c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1">
        <v>61.4</v>
      </c>
      <c r="AI67" s="139" t="s">
        <v>685</v>
      </c>
      <c r="AJ67" s="122"/>
      <c r="AK67" s="122"/>
      <c r="AL67" s="122"/>
      <c r="AM67" s="122"/>
      <c r="AN67" s="122">
        <v>24.7</v>
      </c>
      <c r="AO67" s="139" t="s">
        <v>1072</v>
      </c>
      <c r="AP67" s="122"/>
      <c r="AQ67" s="122"/>
      <c r="AR67" s="122"/>
      <c r="AS67" s="122"/>
      <c r="AT67" s="122">
        <v>39.799999999999997</v>
      </c>
      <c r="AU67" s="125">
        <v>-0.2</v>
      </c>
      <c r="AV67" s="139" t="s">
        <v>527</v>
      </c>
      <c r="AW67" s="122"/>
      <c r="AX67" s="122"/>
      <c r="AY67" s="122"/>
      <c r="AZ67" s="121">
        <v>14.9</v>
      </c>
      <c r="BA67" s="458" t="s">
        <v>1070</v>
      </c>
      <c r="BB67" s="122"/>
      <c r="BC67" s="122"/>
      <c r="BD67" s="122" t="str">
        <f ca="1">INDIRECT(ADDRESS(MATCH($B67,'【別紙1】標高（入力）'!$B:$B,0),'【別紙1】標高（入力）'!AD$2,4,TRUE,"【別紙1】標高（入力）"))</f>
        <v/>
      </c>
      <c r="BE67" s="121">
        <f ca="1">INDIRECT(ADDRESS(MATCH($B67,'【別紙1】標高（入力）'!$B:$B,0),'【別紙1】標高（入力）'!AE$2,4,TRUE,"【別紙1】標高（入力）"))</f>
        <v>20.599999999999952</v>
      </c>
      <c r="BF67" s="135" t="s">
        <v>1273</v>
      </c>
      <c r="BG67" s="122" t="str">
        <f ca="1">INDIRECT(ADDRESS(MATCH($B67,'【別紙1】標高（入力）'!$B:$B,0),'【別紙1】標高（入力）'!AG$2,4,TRUE,"【別紙1】標高（入力）"))</f>
        <v/>
      </c>
      <c r="BH67" s="121">
        <f ca="1">INDIRECT(ADDRESS(MATCH($B67,'【別紙1】標高（入力）'!$B:$B,0),'【別紙1】標高（入力）'!AH$2,4,TRUE,"【別紙1】標高（入力）"))</f>
        <v>8.6999999999992639</v>
      </c>
      <c r="BI67" s="122"/>
      <c r="BJ67" s="624" t="str">
        <f ca="1">INDIRECT(ADDRESS(MATCH($B67,'【別紙1】標高（入力）'!$B:$B,0),'【別紙1】標高（入力）'!AJ$2,4,TRUE,"【別紙1】標高（入力）"))</f>
        <v/>
      </c>
      <c r="BK67" s="598" t="str">
        <f ca="1">IF(AND(ISNUMBER(BI67)*1,ISNUMBER(BH67)*1),BI67,"-")</f>
        <v>-</v>
      </c>
      <c r="BL67" s="604">
        <f ca="1">SUM(K67:BI67)</f>
        <v>226.79999999999922</v>
      </c>
      <c r="BM67" s="600" t="str">
        <f ca="1">INDIRECT(ADDRESS(MATCH($B67,'【別紙1】標高（入力）'!$B:$B,0),'【別紙1】標高（入力）'!$N$2,4,TRUE,"【別紙1】標高（入力）"))</f>
        <v>R4</v>
      </c>
      <c r="BN67" s="340">
        <f ca="1">INDIRECT(ADDRESS(MATCH($B67,'【別紙1】標高（入力）'!$B:$B,0),'【別紙1】標高（入力）'!$O$2,4,TRUE,"【別紙1】標高（入力）"))</f>
        <v>9.3406000000000002</v>
      </c>
      <c r="BO67" s="392"/>
    </row>
    <row r="68" spans="1:67" s="231" customFormat="1" ht="15.95" customHeight="1">
      <c r="A68" s="214">
        <v>320</v>
      </c>
      <c r="B68" s="215" t="s">
        <v>445</v>
      </c>
      <c r="C68" s="216" t="s">
        <v>96</v>
      </c>
      <c r="D68" s="217" t="s">
        <v>332</v>
      </c>
      <c r="E68" s="218" t="s">
        <v>123</v>
      </c>
      <c r="F68" s="219" t="s">
        <v>9</v>
      </c>
      <c r="G68" s="220" t="s">
        <v>10</v>
      </c>
      <c r="H68" s="220" t="s">
        <v>64</v>
      </c>
      <c r="I68" s="220" t="s">
        <v>539</v>
      </c>
      <c r="J68" s="410" t="s">
        <v>270</v>
      </c>
      <c r="K68" s="228"/>
      <c r="L68" s="228"/>
      <c r="M68" s="221"/>
      <c r="N68" s="124">
        <v>12</v>
      </c>
      <c r="O68" s="136" t="s">
        <v>636</v>
      </c>
      <c r="P68" s="127">
        <v>19.2</v>
      </c>
      <c r="Q68" s="124">
        <v>23.1</v>
      </c>
      <c r="R68" s="124">
        <v>3.4</v>
      </c>
      <c r="S68" s="124">
        <v>2.1</v>
      </c>
      <c r="T68" s="124">
        <v>17.399999999999999</v>
      </c>
      <c r="U68" s="124">
        <v>-0.6</v>
      </c>
      <c r="V68" s="124">
        <v>18.399999999999999</v>
      </c>
      <c r="W68" s="124">
        <v>35.4</v>
      </c>
      <c r="X68" s="124">
        <v>10.6</v>
      </c>
      <c r="Y68" s="136" t="s">
        <v>652</v>
      </c>
      <c r="Z68" s="122"/>
      <c r="AA68" s="122"/>
      <c r="AB68" s="127">
        <v>18.399999999999999</v>
      </c>
      <c r="AC68" s="136" t="s">
        <v>1273</v>
      </c>
      <c r="AD68" s="122"/>
      <c r="AE68" s="127">
        <v>9.1999999999999993</v>
      </c>
      <c r="AF68" s="136" t="s">
        <v>1273</v>
      </c>
      <c r="AG68" s="122"/>
      <c r="AH68" s="122">
        <v>16.7</v>
      </c>
      <c r="AI68" s="225"/>
      <c r="AJ68" s="228"/>
      <c r="AK68" s="228"/>
      <c r="AL68" s="228"/>
      <c r="AM68" s="228"/>
      <c r="AN68" s="228"/>
      <c r="AO68" s="232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462"/>
      <c r="BB68" s="228"/>
      <c r="BC68" s="228"/>
      <c r="BD68" s="228"/>
      <c r="BE68" s="228"/>
      <c r="BF68" s="228"/>
      <c r="BG68" s="228"/>
      <c r="BH68" s="228"/>
      <c r="BI68" s="228"/>
      <c r="BJ68" s="625" t="str">
        <f ca="1">INDIRECT(ADDRESS(MATCH($B68,'【別紙1】標高（入力）'!$B:$B,0),'【別紙1】標高（入力）'!AJ$2,4,TRUE,"【別紙1】標高（入力）"))</f>
        <v/>
      </c>
      <c r="BK68" s="599" t="str">
        <f t="shared" si="0"/>
        <v>-</v>
      </c>
      <c r="BL68" s="605">
        <f t="shared" si="1"/>
        <v>185.29999999999998</v>
      </c>
      <c r="BM68" s="603" t="s">
        <v>529</v>
      </c>
      <c r="BN68" s="344" t="s">
        <v>529</v>
      </c>
      <c r="BO68" s="393" t="s">
        <v>261</v>
      </c>
    </row>
    <row r="69" spans="1:67" ht="15.95" customHeight="1">
      <c r="A69" s="119">
        <v>321</v>
      </c>
      <c r="B69" s="107" t="s">
        <v>447</v>
      </c>
      <c r="C69" s="114" t="s">
        <v>96</v>
      </c>
      <c r="D69" s="110" t="s">
        <v>332</v>
      </c>
      <c r="E69" s="109" t="s">
        <v>125</v>
      </c>
      <c r="F69" s="111" t="s">
        <v>9</v>
      </c>
      <c r="G69" s="112" t="s">
        <v>31</v>
      </c>
      <c r="H69" s="112" t="s">
        <v>64</v>
      </c>
      <c r="I69" s="112" t="s">
        <v>539</v>
      </c>
      <c r="J69" s="108" t="s">
        <v>270</v>
      </c>
      <c r="K69" s="228"/>
      <c r="L69" s="228"/>
      <c r="M69" s="221"/>
      <c r="N69" s="228"/>
      <c r="O69" s="228"/>
      <c r="P69" s="221"/>
      <c r="Q69" s="124">
        <v>21.7</v>
      </c>
      <c r="R69" s="124">
        <v>7</v>
      </c>
      <c r="S69" s="124">
        <v>-1</v>
      </c>
      <c r="T69" s="124">
        <v>15.1</v>
      </c>
      <c r="U69" s="124">
        <v>-3.2</v>
      </c>
      <c r="V69" s="123">
        <v>25.2</v>
      </c>
      <c r="W69" s="411" t="s">
        <v>1270</v>
      </c>
      <c r="X69" s="127">
        <v>14.8</v>
      </c>
      <c r="Y69" s="124">
        <v>-2.2999999999999998</v>
      </c>
      <c r="Z69" s="124">
        <v>5.8</v>
      </c>
      <c r="AA69" s="124">
        <v>8.1999999999999993</v>
      </c>
      <c r="AB69" s="124">
        <v>-2.2999999999999998</v>
      </c>
      <c r="AC69" s="124">
        <v>9</v>
      </c>
      <c r="AD69" s="124">
        <v>-0.6</v>
      </c>
      <c r="AE69" s="124">
        <v>-2</v>
      </c>
      <c r="AF69" s="124">
        <v>6.3</v>
      </c>
      <c r="AG69" s="124">
        <v>6.1</v>
      </c>
      <c r="AH69" s="123">
        <v>-0.3</v>
      </c>
      <c r="AI69" s="125">
        <v>10.4</v>
      </c>
      <c r="AJ69" s="128">
        <v>-4.3</v>
      </c>
      <c r="AK69" s="128">
        <v>2.8</v>
      </c>
      <c r="AL69" s="123">
        <v>5.5</v>
      </c>
      <c r="AM69" s="123">
        <v>3.9999999999995599</v>
      </c>
      <c r="AN69" s="128">
        <v>-6.2</v>
      </c>
      <c r="AO69" s="122">
        <v>9.4</v>
      </c>
      <c r="AP69" s="126">
        <v>5.0999999999999996</v>
      </c>
      <c r="AQ69" s="135" t="s">
        <v>637</v>
      </c>
      <c r="AR69" s="122">
        <v>2.10000000000043</v>
      </c>
      <c r="AS69" s="139" t="s">
        <v>1068</v>
      </c>
      <c r="AT69" s="122"/>
      <c r="AU69" s="121">
        <v>0.9</v>
      </c>
      <c r="AV69" s="126">
        <v>3.6</v>
      </c>
      <c r="AW69" s="135" t="s">
        <v>1069</v>
      </c>
      <c r="AX69" s="122">
        <v>6</v>
      </c>
      <c r="AY69" s="139" t="s">
        <v>1070</v>
      </c>
      <c r="AZ69" s="122"/>
      <c r="BA69" s="460"/>
      <c r="BB69" s="122"/>
      <c r="BC69" s="122">
        <v>2.7</v>
      </c>
      <c r="BD69" s="139" t="s">
        <v>1505</v>
      </c>
      <c r="BE69" s="122" t="str">
        <f ca="1">INDIRECT(ADDRESS(MATCH($B69,'【別紙1】標高（入力）'!$B:$B,0),'【別紙1】標高（入力）'!AE$2,4,TRUE,"【別紙1】標高（入力）"))</f>
        <v/>
      </c>
      <c r="BF69" s="122" t="str">
        <f ca="1">INDIRECT(ADDRESS(MATCH($B69,'【別紙1】標高（入力）'!$B:$B,0),'【別紙1】標高（入力）'!AF$2,4,TRUE,"【別紙1】標高（入力）"))</f>
        <v/>
      </c>
      <c r="BG69" s="122" t="str">
        <f ca="1">INDIRECT(ADDRESS(MATCH($B69,'【別紙1】標高（入力）'!$B:$B,0),'【別紙1】標高（入力）'!AG$2,4,TRUE,"【別紙1】標高（入力）"))</f>
        <v/>
      </c>
      <c r="BH69" s="122" t="str">
        <f ca="1">INDIRECT(ADDRESS(MATCH($B69,'【別紙1】標高（入力）'!$B:$B,0),'【別紙1】標高（入力）'!AH$2,4,TRUE,"【別紙1】標高（入力）"))</f>
        <v/>
      </c>
      <c r="BI69" s="121">
        <f ca="1">INDIRECT(ADDRESS(MATCH($B69,'【別紙1】標高（入力）'!$B:$B,0),'【別紙1】標高（入力）'!AI$2,4,TRUE,"【別紙1】標高（入力）"))</f>
        <v>14.599999999999724</v>
      </c>
      <c r="BJ69" s="624" t="str">
        <f ca="1">INDIRECT(ADDRESS(MATCH($B69,'【別紙1】標高（入力）'!$B:$B,0),'【別紙1】標高（入力）'!AJ$2,4,TRUE,"【別紙1】標高（入力）"))</f>
        <v/>
      </c>
      <c r="BK69" s="598" t="str">
        <f t="shared" ca="1" si="0"/>
        <v>-</v>
      </c>
      <c r="BL69" s="604">
        <f t="shared" ca="1" si="1"/>
        <v>149.49999999999997</v>
      </c>
      <c r="BM69" s="602" t="str">
        <f ca="1">INDIRECT(ADDRESS(MATCH($B69,'【別紙1】標高（入力）'!$B:$B,0),'【別紙1】標高（入力）'!$N$2,4,TRUE,"【別紙1】標高（入力）"))</f>
        <v>R5</v>
      </c>
      <c r="BN69" s="342">
        <f ca="1">INDIRECT(ADDRESS(MATCH($B69,'【別紙1】標高（入力）'!$B:$B,0),'【別紙1】標高（入力）'!$O$2,4,TRUE,"【別紙1】標高（入力）"))</f>
        <v>8.1942000000000004</v>
      </c>
      <c r="BO69" s="392"/>
    </row>
    <row r="70" spans="1:67" ht="15.95" customHeight="1">
      <c r="A70" s="119">
        <v>322</v>
      </c>
      <c r="B70" s="107" t="s">
        <v>449</v>
      </c>
      <c r="C70" s="114" t="s">
        <v>96</v>
      </c>
      <c r="D70" s="110" t="s">
        <v>657</v>
      </c>
      <c r="E70" s="109" t="s">
        <v>126</v>
      </c>
      <c r="F70" s="111" t="s">
        <v>9</v>
      </c>
      <c r="G70" s="112" t="s">
        <v>127</v>
      </c>
      <c r="H70" s="112" t="s">
        <v>542</v>
      </c>
      <c r="I70" s="112" t="s">
        <v>54</v>
      </c>
      <c r="J70" s="112" t="s">
        <v>270</v>
      </c>
      <c r="K70" s="224"/>
      <c r="L70" s="228"/>
      <c r="M70" s="228"/>
      <c r="N70" s="228"/>
      <c r="O70" s="228"/>
      <c r="P70" s="228"/>
      <c r="Q70" s="221"/>
      <c r="R70" s="124">
        <v>11.9</v>
      </c>
      <c r="S70" s="124">
        <v>1.9</v>
      </c>
      <c r="T70" s="124">
        <v>19.8</v>
      </c>
      <c r="U70" s="124">
        <v>-3.5</v>
      </c>
      <c r="V70" s="124">
        <v>49.9</v>
      </c>
      <c r="W70" s="124">
        <v>28.7</v>
      </c>
      <c r="X70" s="124">
        <v>28.6</v>
      </c>
      <c r="Y70" s="136" t="s">
        <v>652</v>
      </c>
      <c r="Z70" s="122"/>
      <c r="AA70" s="122"/>
      <c r="AB70" s="127">
        <v>86.3</v>
      </c>
      <c r="AC70" s="233"/>
      <c r="AD70" s="228"/>
      <c r="AE70" s="411" t="s">
        <v>47</v>
      </c>
      <c r="AF70" s="232"/>
      <c r="AG70" s="228"/>
      <c r="AH70" s="411" t="s">
        <v>47</v>
      </c>
      <c r="AI70" s="135" t="s">
        <v>695</v>
      </c>
      <c r="AJ70" s="122"/>
      <c r="AK70" s="122"/>
      <c r="AL70" s="122"/>
      <c r="AM70" s="122"/>
      <c r="AN70" s="122"/>
      <c r="AO70" s="122">
        <v>86.5</v>
      </c>
      <c r="AP70" s="139" t="s">
        <v>1071</v>
      </c>
      <c r="AQ70" s="122"/>
      <c r="AR70" s="122"/>
      <c r="AS70" s="121">
        <v>36.200000000000003</v>
      </c>
      <c r="AT70" s="122">
        <v>14.4</v>
      </c>
      <c r="AU70" s="126">
        <v>0.5</v>
      </c>
      <c r="AV70" s="126">
        <v>5.3</v>
      </c>
      <c r="AW70" s="135" t="s">
        <v>1069</v>
      </c>
      <c r="AX70" s="122">
        <v>14.9</v>
      </c>
      <c r="AY70" s="139" t="s">
        <v>1069</v>
      </c>
      <c r="AZ70" s="121">
        <v>13.1</v>
      </c>
      <c r="BA70" s="463" t="s">
        <v>1068</v>
      </c>
      <c r="BB70" s="122"/>
      <c r="BC70" s="122">
        <v>13.9</v>
      </c>
      <c r="BD70" s="139" t="s">
        <v>1069</v>
      </c>
      <c r="BE70" s="121">
        <f ca="1">INDIRECT(ADDRESS(MATCH($B70,'【別紙1】標高（入力）'!$B:$B,0),'【別紙1】標高（入力）'!AE$2,4,TRUE,"【別紙1】標高（入力）"))</f>
        <v>18.799999999999706</v>
      </c>
      <c r="BF70" s="135" t="s">
        <v>1337</v>
      </c>
      <c r="BG70" s="122" t="str">
        <f ca="1">INDIRECT(ADDRESS(MATCH($B70,'【別紙1】標高（入力）'!$B:$B,0),'【別紙1】標高（入力）'!AG$2,4,TRUE,"【別紙1】標高（入力）"))</f>
        <v/>
      </c>
      <c r="BH70" s="122" t="str">
        <f ca="1">INDIRECT(ADDRESS(MATCH($B70,'【別紙1】標高（入力）'!$B:$B,0),'【別紙1】標高（入力）'!AH$2,4,TRUE,"【別紙1】標高（入力）"))</f>
        <v/>
      </c>
      <c r="BI70" s="121">
        <f ca="1">INDIRECT(ADDRESS(MATCH($B70,'【別紙1】標高（入力）'!$B:$B,0),'【別紙1】標高（入力）'!AI$2,4,TRUE,"【別紙1】標高（入力）"))</f>
        <v>22.20000000000022</v>
      </c>
      <c r="BJ70" s="624" t="str">
        <f ca="1">INDIRECT(ADDRESS(MATCH($B70,'【別紙1】標高（入力）'!$B:$B,0),'【別紙1】標高（入力）'!AJ$2,4,TRUE,"【別紙1】標高（入力）"))</f>
        <v/>
      </c>
      <c r="BK70" s="598" t="str">
        <f t="shared" ref="BK70:BK74" ca="1" si="20">IF(AND(ISNUMBER(BI70)*1,ISNUMBER(BH70)*1),BI70,"-")</f>
        <v>-</v>
      </c>
      <c r="BL70" s="604">
        <f t="shared" ref="BL70:BL74" ca="1" si="21">SUM(K70:BI70)</f>
        <v>449.39999999999992</v>
      </c>
      <c r="BM70" s="600" t="str">
        <f ca="1">INDIRECT(ADDRESS(MATCH($B70,'【別紙1】標高（入力）'!$B:$B,0),'【別紙1】標高（入力）'!$N$2,4,TRUE,"【別紙1】標高（入力）"))</f>
        <v>R5</v>
      </c>
      <c r="BN70" s="340">
        <f ca="1">INDIRECT(ADDRESS(MATCH($B70,'【別紙1】標高（入力）'!$B:$B,0),'【別紙1】標高（入力）'!$O$2,4,TRUE,"【別紙1】標高（入力）"))</f>
        <v>3.5131999999999999</v>
      </c>
      <c r="BO70" s="392"/>
    </row>
    <row r="71" spans="1:67" ht="15.95" customHeight="1">
      <c r="A71" s="119">
        <v>323</v>
      </c>
      <c r="B71" s="107" t="s">
        <v>451</v>
      </c>
      <c r="C71" s="114" t="s">
        <v>96</v>
      </c>
      <c r="D71" s="110" t="s">
        <v>658</v>
      </c>
      <c r="E71" s="109" t="s">
        <v>299</v>
      </c>
      <c r="F71" s="111" t="s">
        <v>9</v>
      </c>
      <c r="G71" s="112" t="s">
        <v>31</v>
      </c>
      <c r="H71" s="112" t="s">
        <v>541</v>
      </c>
      <c r="I71" s="112" t="s">
        <v>539</v>
      </c>
      <c r="J71" s="112" t="s">
        <v>270</v>
      </c>
      <c r="K71" s="224"/>
      <c r="L71" s="228"/>
      <c r="M71" s="228"/>
      <c r="N71" s="228"/>
      <c r="O71" s="228"/>
      <c r="P71" s="221"/>
      <c r="Q71" s="124">
        <v>60.7</v>
      </c>
      <c r="R71" s="124">
        <v>0.9</v>
      </c>
      <c r="S71" s="124">
        <v>-1.5</v>
      </c>
      <c r="T71" s="124">
        <v>21.8</v>
      </c>
      <c r="U71" s="124">
        <v>-1</v>
      </c>
      <c r="V71" s="124">
        <v>14.3</v>
      </c>
      <c r="W71" s="136" t="s">
        <v>679</v>
      </c>
      <c r="X71" s="122"/>
      <c r="Y71" s="122"/>
      <c r="Z71" s="122"/>
      <c r="AA71" s="122"/>
      <c r="AB71" s="127">
        <v>29.9</v>
      </c>
      <c r="AC71" s="136" t="s">
        <v>1273</v>
      </c>
      <c r="AD71" s="122"/>
      <c r="AE71" s="127">
        <v>2.1</v>
      </c>
      <c r="AF71" s="136" t="s">
        <v>1273</v>
      </c>
      <c r="AG71" s="122"/>
      <c r="AH71" s="122">
        <v>9.1999999999999993</v>
      </c>
      <c r="AI71" s="139" t="s">
        <v>695</v>
      </c>
      <c r="AJ71" s="122"/>
      <c r="AK71" s="122"/>
      <c r="AL71" s="122"/>
      <c r="AM71" s="122"/>
      <c r="AN71" s="122"/>
      <c r="AO71" s="122">
        <v>16.7</v>
      </c>
      <c r="AP71" s="139" t="s">
        <v>1071</v>
      </c>
      <c r="AQ71" s="122"/>
      <c r="AR71" s="122"/>
      <c r="AS71" s="121">
        <v>4.8</v>
      </c>
      <c r="AT71" s="122">
        <v>4.8</v>
      </c>
      <c r="AU71" s="126">
        <v>-2.2999999999999998</v>
      </c>
      <c r="AV71" s="126">
        <v>2.9</v>
      </c>
      <c r="AW71" s="135" t="s">
        <v>1069</v>
      </c>
      <c r="AX71" s="122">
        <v>3.6</v>
      </c>
      <c r="AY71" s="139" t="s">
        <v>1069</v>
      </c>
      <c r="AZ71" s="121">
        <v>1.4</v>
      </c>
      <c r="BA71" s="463" t="s">
        <v>1068</v>
      </c>
      <c r="BB71" s="122"/>
      <c r="BC71" s="122">
        <v>3.6</v>
      </c>
      <c r="BD71" s="139" t="s">
        <v>1069</v>
      </c>
      <c r="BE71" s="121">
        <f ca="1">INDIRECT(ADDRESS(MATCH($B71,'【別紙1】標高（入力）'!$B:$B,0),'【別紙1】標高（入力）'!AE$2,4,TRUE,"【別紙1】標高（入力）"))</f>
        <v>7.1999999999996511</v>
      </c>
      <c r="BF71" s="122" t="str">
        <f ca="1">INDIRECT(ADDRESS(MATCH($B71,'【別紙1】標高（入力）'!$B:$B,0),'【別紙1】標高（入力）'!AF$2,4,TRUE,"【別紙1】標高（入力）"))</f>
        <v/>
      </c>
      <c r="BG71" s="122" t="str">
        <f ca="1">INDIRECT(ADDRESS(MATCH($B71,'【別紙1】標高（入力）'!$B:$B,0),'【別紙1】標高（入力）'!AG$2,4,TRUE,"【別紙1】標高（入力）"))</f>
        <v/>
      </c>
      <c r="BH71" s="122" t="str">
        <f ca="1">INDIRECT(ADDRESS(MATCH($B71,'【別紙1】標高（入力）'!$B:$B,0),'【別紙1】標高（入力）'!AH$2,4,TRUE,"【別紙1】標高（入力）"))</f>
        <v/>
      </c>
      <c r="BI71" s="122"/>
      <c r="BJ71" s="624" t="str">
        <f ca="1">INDIRECT(ADDRESS(MATCH($B71,'【別紙1】標高（入力）'!$B:$B,0),'【別紙1】標高（入力）'!AJ$2,4,TRUE,"【別紙1】標高（入力）"))</f>
        <v/>
      </c>
      <c r="BK71" s="598" t="str">
        <f t="shared" ca="1" si="20"/>
        <v>-</v>
      </c>
      <c r="BL71" s="604">
        <f t="shared" ca="1" si="21"/>
        <v>179.09999999999962</v>
      </c>
      <c r="BM71" s="600" t="str">
        <f ca="1">INDIRECT(ADDRESS(MATCH($B71,'【別紙1】標高（入力）'!$B:$B,0),'【別紙1】標高（入力）'!$N$2,4,TRUE,"【別紙1】標高（入力）"))</f>
        <v>R1</v>
      </c>
      <c r="BN71" s="340">
        <f ca="1">INDIRECT(ADDRESS(MATCH($B71,'【別紙1】標高（入力）'!$B:$B,0),'【別紙1】標高（入力）'!$O$2,4,TRUE,"【別紙1】標高（入力）"))</f>
        <v>3.3675000000000002</v>
      </c>
      <c r="BO71" s="392"/>
    </row>
    <row r="72" spans="1:67" ht="15.95" customHeight="1">
      <c r="A72" s="119">
        <v>324</v>
      </c>
      <c r="B72" s="107" t="s">
        <v>452</v>
      </c>
      <c r="C72" s="114" t="s">
        <v>96</v>
      </c>
      <c r="D72" s="110" t="s">
        <v>334</v>
      </c>
      <c r="E72" s="597" t="s">
        <v>1418</v>
      </c>
      <c r="F72" s="111" t="s">
        <v>9</v>
      </c>
      <c r="G72" s="112" t="s">
        <v>31</v>
      </c>
      <c r="H72" s="112" t="s">
        <v>64</v>
      </c>
      <c r="I72" s="112" t="s">
        <v>54</v>
      </c>
      <c r="J72" s="112" t="s">
        <v>270</v>
      </c>
      <c r="K72" s="224"/>
      <c r="L72" s="228"/>
      <c r="M72" s="228"/>
      <c r="N72" s="228"/>
      <c r="O72" s="228"/>
      <c r="P72" s="221"/>
      <c r="Q72" s="124">
        <v>22.2</v>
      </c>
      <c r="R72" s="124">
        <v>2.8</v>
      </c>
      <c r="S72" s="124">
        <v>-4.5999999999999996</v>
      </c>
      <c r="T72" s="124">
        <v>31.2</v>
      </c>
      <c r="U72" s="136" t="s">
        <v>93</v>
      </c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1">
        <v>164.8</v>
      </c>
      <c r="AI72" s="139" t="s">
        <v>695</v>
      </c>
      <c r="AJ72" s="122"/>
      <c r="AK72" s="122"/>
      <c r="AL72" s="122"/>
      <c r="AM72" s="122"/>
      <c r="AN72" s="122"/>
      <c r="AO72" s="122">
        <v>100.5</v>
      </c>
      <c r="AP72" s="139" t="s">
        <v>1071</v>
      </c>
      <c r="AQ72" s="122"/>
      <c r="AR72" s="122"/>
      <c r="AS72" s="121">
        <v>23.9</v>
      </c>
      <c r="AT72" s="122">
        <v>19.600000000000001</v>
      </c>
      <c r="AU72" s="126">
        <v>0.6</v>
      </c>
      <c r="AV72" s="126">
        <v>5</v>
      </c>
      <c r="AW72" s="135" t="s">
        <v>1069</v>
      </c>
      <c r="AX72" s="122">
        <v>-9.9</v>
      </c>
      <c r="AY72" s="139" t="s">
        <v>1069</v>
      </c>
      <c r="AZ72" s="121">
        <v>7.9</v>
      </c>
      <c r="BA72" s="463" t="s">
        <v>1068</v>
      </c>
      <c r="BB72" s="122"/>
      <c r="BC72" s="122">
        <v>2.2999999999999998</v>
      </c>
      <c r="BD72" s="139" t="s">
        <v>1069</v>
      </c>
      <c r="BE72" s="121">
        <f ca="1">INDIRECT(ADDRESS(MATCH($B72,'【別紙1】標高（入力）'!$B:$B,0),'【別紙1】標高（入力）'!AE$2,4,TRUE,"【別紙1】標高（入力）"))</f>
        <v>13.700000000000045</v>
      </c>
      <c r="BF72" s="122" t="str">
        <f ca="1">INDIRECT(ADDRESS(MATCH($B72,'【別紙1】標高（入力）'!$B:$B,0),'【別紙1】標高（入力）'!AF$2,4,TRUE,"【別紙1】標高（入力）"))</f>
        <v/>
      </c>
      <c r="BG72" s="122" t="str">
        <f ca="1">INDIRECT(ADDRESS(MATCH($B72,'【別紙1】標高（入力）'!$B:$B,0),'【別紙1】標高（入力）'!AG$2,4,TRUE,"【別紙1】標高（入力）"))</f>
        <v/>
      </c>
      <c r="BH72" s="122" t="str">
        <f ca="1">INDIRECT(ADDRESS(MATCH($B72,'【別紙1】標高（入力）'!$B:$B,0),'【別紙1】標高（入力）'!AH$2,4,TRUE,"【別紙1】標高（入力）"))</f>
        <v/>
      </c>
      <c r="BI72" s="122"/>
      <c r="BJ72" s="624" t="str">
        <f ca="1">INDIRECT(ADDRESS(MATCH($B72,'【別紙1】標高（入力）'!$B:$B,0),'【別紙1】標高（入力）'!AJ$2,4,TRUE,"【別紙1】標高（入力）"))</f>
        <v/>
      </c>
      <c r="BK72" s="598" t="str">
        <f t="shared" ca="1" si="20"/>
        <v>-</v>
      </c>
      <c r="BL72" s="604">
        <f t="shared" ca="1" si="21"/>
        <v>380.00000000000006</v>
      </c>
      <c r="BM72" s="600" t="str">
        <f ca="1">INDIRECT(ADDRESS(MATCH($B72,'【別紙1】標高（入力）'!$B:$B,0),'【別紙1】標高（入力）'!$N$2,4,TRUE,"【別紙1】標高（入力）"))</f>
        <v>R1</v>
      </c>
      <c r="BN72" s="340">
        <f ca="1">INDIRECT(ADDRESS(MATCH($B72,'【別紙1】標高（入力）'!$B:$B,0),'【別紙1】標高（入力）'!$O$2,4,TRUE,"【別紙1】標高（入力）"))</f>
        <v>4.9245000000000001</v>
      </c>
      <c r="BO72" s="392"/>
    </row>
    <row r="73" spans="1:67" ht="15.95" customHeight="1">
      <c r="A73" s="119">
        <v>325</v>
      </c>
      <c r="B73" s="107" t="s">
        <v>454</v>
      </c>
      <c r="C73" s="114" t="s">
        <v>96</v>
      </c>
      <c r="D73" s="110" t="s">
        <v>334</v>
      </c>
      <c r="E73" s="109" t="s">
        <v>130</v>
      </c>
      <c r="F73" s="111" t="s">
        <v>9</v>
      </c>
      <c r="G73" s="112" t="s">
        <v>31</v>
      </c>
      <c r="H73" s="112" t="s">
        <v>64</v>
      </c>
      <c r="I73" s="112" t="s">
        <v>539</v>
      </c>
      <c r="J73" s="112" t="s">
        <v>270</v>
      </c>
      <c r="K73" s="224"/>
      <c r="L73" s="228"/>
      <c r="M73" s="228"/>
      <c r="N73" s="228"/>
      <c r="O73" s="228"/>
      <c r="P73" s="221"/>
      <c r="Q73" s="124">
        <v>16.100000000000001</v>
      </c>
      <c r="R73" s="124">
        <v>0.3</v>
      </c>
      <c r="S73" s="124">
        <v>-9.6999999999999993</v>
      </c>
      <c r="T73" s="124">
        <v>6.9</v>
      </c>
      <c r="U73" s="136" t="s">
        <v>93</v>
      </c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1">
        <v>-1.6</v>
      </c>
      <c r="AI73" s="139" t="s">
        <v>695</v>
      </c>
      <c r="AJ73" s="122"/>
      <c r="AK73" s="122"/>
      <c r="AL73" s="122"/>
      <c r="AM73" s="122"/>
      <c r="AN73" s="122"/>
      <c r="AO73" s="122">
        <v>12.2</v>
      </c>
      <c r="AP73" s="139" t="s">
        <v>1071</v>
      </c>
      <c r="AQ73" s="122"/>
      <c r="AR73" s="122"/>
      <c r="AS73" s="121">
        <v>0.2</v>
      </c>
      <c r="AT73" s="122">
        <v>1.5</v>
      </c>
      <c r="AU73" s="126">
        <v>0.3</v>
      </c>
      <c r="AV73" s="126">
        <v>5.9</v>
      </c>
      <c r="AW73" s="135" t="s">
        <v>1069</v>
      </c>
      <c r="AX73" s="122">
        <v>-0.8</v>
      </c>
      <c r="AY73" s="139" t="s">
        <v>1069</v>
      </c>
      <c r="AZ73" s="121">
        <v>1.4</v>
      </c>
      <c r="BA73" s="463" t="s">
        <v>1068</v>
      </c>
      <c r="BB73" s="122"/>
      <c r="BC73" s="122">
        <v>4.4000000000000004</v>
      </c>
      <c r="BD73" s="139" t="s">
        <v>1069</v>
      </c>
      <c r="BE73" s="121">
        <f ca="1">INDIRECT(ADDRESS(MATCH($B73,'【別紙1】標高（入力）'!$B:$B,0),'【別紙1】標高（入力）'!AE$2,4,TRUE,"【別紙1】標高（入力）"))</f>
        <v>5.6000000000002714</v>
      </c>
      <c r="BF73" s="122" t="str">
        <f ca="1">INDIRECT(ADDRESS(MATCH($B73,'【別紙1】標高（入力）'!$B:$B,0),'【別紙1】標高（入力）'!AF$2,4,TRUE,"【別紙1】標高（入力）"))</f>
        <v/>
      </c>
      <c r="BG73" s="122" t="str">
        <f ca="1">INDIRECT(ADDRESS(MATCH($B73,'【別紙1】標高（入力）'!$B:$B,0),'【別紙1】標高（入力）'!AG$2,4,TRUE,"【別紙1】標高（入力）"))</f>
        <v/>
      </c>
      <c r="BH73" s="122" t="str">
        <f ca="1">INDIRECT(ADDRESS(MATCH($B73,'【別紙1】標高（入力）'!$B:$B,0),'【別紙1】標高（入力）'!AH$2,4,TRUE,"【別紙1】標高（入力）"))</f>
        <v/>
      </c>
      <c r="BI73" s="122"/>
      <c r="BJ73" s="624" t="str">
        <f ca="1">INDIRECT(ADDRESS(MATCH($B73,'【別紙1】標高（入力）'!$B:$B,0),'【別紙1】標高（入力）'!AJ$2,4,TRUE,"【別紙1】標高（入力）"))</f>
        <v/>
      </c>
      <c r="BK73" s="598" t="str">
        <f t="shared" ca="1" si="20"/>
        <v>-</v>
      </c>
      <c r="BL73" s="604">
        <f t="shared" ca="1" si="21"/>
        <v>42.700000000000273</v>
      </c>
      <c r="BM73" s="600" t="str">
        <f ca="1">INDIRECT(ADDRESS(MATCH($B73,'【別紙1】標高（入力）'!$B:$B,0),'【別紙1】標高（入力）'!$N$2,4,TRUE,"【別紙1】標高（入力）"))</f>
        <v>R1</v>
      </c>
      <c r="BN73" s="340">
        <f ca="1">INDIRECT(ADDRESS(MATCH($B73,'【別紙1】標高（入力）'!$B:$B,0),'【別紙1】標高（入力）'!$O$2,4,TRUE,"【別紙1】標高（入力）"))</f>
        <v>4.7450000000000001</v>
      </c>
      <c r="BO73" s="392"/>
    </row>
    <row r="74" spans="1:67" ht="15.95" customHeight="1">
      <c r="A74" s="119">
        <v>326</v>
      </c>
      <c r="B74" s="107" t="s">
        <v>456</v>
      </c>
      <c r="C74" s="114" t="s">
        <v>96</v>
      </c>
      <c r="D74" s="110" t="s">
        <v>334</v>
      </c>
      <c r="E74" s="109" t="s">
        <v>131</v>
      </c>
      <c r="F74" s="111" t="s">
        <v>9</v>
      </c>
      <c r="G74" s="112" t="s">
        <v>31</v>
      </c>
      <c r="H74" s="112" t="s">
        <v>64</v>
      </c>
      <c r="I74" s="112" t="s">
        <v>54</v>
      </c>
      <c r="J74" s="112" t="s">
        <v>270</v>
      </c>
      <c r="K74" s="224"/>
      <c r="L74" s="228"/>
      <c r="M74" s="228"/>
      <c r="N74" s="228"/>
      <c r="O74" s="228"/>
      <c r="P74" s="221"/>
      <c r="Q74" s="124">
        <v>24.7</v>
      </c>
      <c r="R74" s="124">
        <v>4.5999999999999996</v>
      </c>
      <c r="S74" s="124">
        <v>1.8</v>
      </c>
      <c r="T74" s="124">
        <v>11.7</v>
      </c>
      <c r="U74" s="136" t="s">
        <v>93</v>
      </c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1">
        <v>30.1</v>
      </c>
      <c r="AI74" s="139" t="s">
        <v>695</v>
      </c>
      <c r="AJ74" s="122"/>
      <c r="AK74" s="122"/>
      <c r="AL74" s="122"/>
      <c r="AM74" s="122"/>
      <c r="AN74" s="122"/>
      <c r="AO74" s="122">
        <v>17.899999999999999</v>
      </c>
      <c r="AP74" s="139" t="s">
        <v>1071</v>
      </c>
      <c r="AQ74" s="122"/>
      <c r="AR74" s="122"/>
      <c r="AS74" s="121">
        <v>2.4</v>
      </c>
      <c r="AT74" s="122">
        <v>1.6</v>
      </c>
      <c r="AU74" s="126">
        <v>-0.6</v>
      </c>
      <c r="AV74" s="121">
        <v>7</v>
      </c>
      <c r="AW74" s="135" t="s">
        <v>1069</v>
      </c>
      <c r="AX74" s="122">
        <v>-0.2</v>
      </c>
      <c r="AY74" s="139" t="s">
        <v>1069</v>
      </c>
      <c r="AZ74" s="121">
        <v>0.1</v>
      </c>
      <c r="BA74" s="463" t="s">
        <v>1068</v>
      </c>
      <c r="BB74" s="122"/>
      <c r="BC74" s="122">
        <v>4.9000000000000004</v>
      </c>
      <c r="BD74" s="139" t="s">
        <v>1069</v>
      </c>
      <c r="BE74" s="121">
        <f ca="1">INDIRECT(ADDRESS(MATCH($B74,'【別紙1】標高（入力）'!$B:$B,0),'【別紙1】標高（入力）'!AE$2,4,TRUE,"【別紙1】標高（入力）"))</f>
        <v>5.1000000000005485</v>
      </c>
      <c r="BF74" s="122" t="str">
        <f ca="1">INDIRECT(ADDRESS(MATCH($B74,'【別紙1】標高（入力）'!$B:$B,0),'【別紙1】標高（入力）'!AF$2,4,TRUE,"【別紙1】標高（入力）"))</f>
        <v/>
      </c>
      <c r="BG74" s="122" t="str">
        <f ca="1">INDIRECT(ADDRESS(MATCH($B74,'【別紙1】標高（入力）'!$B:$B,0),'【別紙1】標高（入力）'!AG$2,4,TRUE,"【別紙1】標高（入力）"))</f>
        <v/>
      </c>
      <c r="BH74" s="122" t="str">
        <f ca="1">INDIRECT(ADDRESS(MATCH($B74,'【別紙1】標高（入力）'!$B:$B,0),'【別紙1】標高（入力）'!AH$2,4,TRUE,"【別紙1】標高（入力）"))</f>
        <v/>
      </c>
      <c r="BI74" s="122"/>
      <c r="BJ74" s="624" t="str">
        <f ca="1">INDIRECT(ADDRESS(MATCH($B74,'【別紙1】標高（入力）'!$B:$B,0),'【別紙1】標高（入力）'!AJ$2,4,TRUE,"【別紙1】標高（入力）"))</f>
        <v/>
      </c>
      <c r="BK74" s="598" t="str">
        <f t="shared" ca="1" si="20"/>
        <v>-</v>
      </c>
      <c r="BL74" s="604">
        <f t="shared" ca="1" si="21"/>
        <v>111.10000000000056</v>
      </c>
      <c r="BM74" s="600" t="str">
        <f ca="1">INDIRECT(ADDRESS(MATCH($B74,'【別紙1】標高（入力）'!$B:$B,0),'【別紙1】標高（入力）'!$N$2,4,TRUE,"【別紙1】標高（入力）"))</f>
        <v>R1</v>
      </c>
      <c r="BN74" s="340">
        <f ca="1">INDIRECT(ADDRESS(MATCH($B74,'【別紙1】標高（入力）'!$B:$B,0),'【別紙1】標高（入力）'!$O$2,4,TRUE,"【別紙1】標高（入力）"))</f>
        <v>4.1571999999999996</v>
      </c>
      <c r="BO74" s="392"/>
    </row>
    <row r="75" spans="1:67" s="231" customFormat="1" ht="15.95" customHeight="1">
      <c r="A75" s="214">
        <v>327</v>
      </c>
      <c r="B75" s="215" t="s">
        <v>1390</v>
      </c>
      <c r="C75" s="216" t="s">
        <v>96</v>
      </c>
      <c r="D75" s="217" t="s">
        <v>334</v>
      </c>
      <c r="E75" s="218" t="s">
        <v>299</v>
      </c>
      <c r="F75" s="219" t="s">
        <v>9</v>
      </c>
      <c r="G75" s="220" t="s">
        <v>31</v>
      </c>
      <c r="H75" s="220" t="s">
        <v>64</v>
      </c>
      <c r="I75" s="220" t="s">
        <v>54</v>
      </c>
      <c r="J75" s="410" t="s">
        <v>270</v>
      </c>
      <c r="K75" s="228"/>
      <c r="L75" s="228"/>
      <c r="M75" s="228"/>
      <c r="N75" s="228"/>
      <c r="O75" s="228"/>
      <c r="P75" s="221"/>
      <c r="Q75" s="124">
        <v>20.2</v>
      </c>
      <c r="R75" s="124">
        <v>3.1</v>
      </c>
      <c r="S75" s="124">
        <v>-2</v>
      </c>
      <c r="T75" s="124">
        <v>9</v>
      </c>
      <c r="U75" s="124">
        <v>-3.4</v>
      </c>
      <c r="V75" s="124">
        <v>20.8</v>
      </c>
      <c r="W75" s="233" t="s">
        <v>20</v>
      </c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462"/>
      <c r="BB75" s="228"/>
      <c r="BC75" s="228"/>
      <c r="BD75" s="228"/>
      <c r="BE75" s="228"/>
      <c r="BF75" s="228"/>
      <c r="BG75" s="228"/>
      <c r="BH75" s="228"/>
      <c r="BI75" s="228"/>
      <c r="BJ75" s="570" t="str">
        <f ca="1">INDIRECT(ADDRESS(MATCH($B75,'【別紙1】標高（入力）'!$B:$B,0),'【別紙1】標高（入力）'!AJ$2,4,TRUE,"【別紙1】標高（入力）"))</f>
        <v/>
      </c>
      <c r="BK75" s="599" t="str">
        <f t="shared" ref="BK75:BK133" si="22">IF(AND(ISNUMBER(BH75)*1,ISNUMBER(BG75)*1),BH75,"-")</f>
        <v>-</v>
      </c>
      <c r="BL75" s="605">
        <f t="shared" ref="BL75:BL133" si="23">SUM(K75:BH75)</f>
        <v>47.7</v>
      </c>
      <c r="BM75" s="603" t="s">
        <v>529</v>
      </c>
      <c r="BN75" s="344" t="s">
        <v>529</v>
      </c>
      <c r="BO75" s="393" t="s">
        <v>20</v>
      </c>
    </row>
    <row r="76" spans="1:67" ht="15.95" customHeight="1">
      <c r="A76" s="119">
        <v>328</v>
      </c>
      <c r="B76" s="113" t="s">
        <v>459</v>
      </c>
      <c r="C76" s="115" t="s">
        <v>96</v>
      </c>
      <c r="D76" s="116" t="s">
        <v>332</v>
      </c>
      <c r="E76" s="117" t="s">
        <v>1419</v>
      </c>
      <c r="F76" s="111" t="s">
        <v>9</v>
      </c>
      <c r="G76" s="112" t="s">
        <v>343</v>
      </c>
      <c r="H76" s="112" t="s">
        <v>64</v>
      </c>
      <c r="I76" s="112" t="s">
        <v>539</v>
      </c>
      <c r="J76" s="108" t="s">
        <v>270</v>
      </c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138" t="s">
        <v>289</v>
      </c>
      <c r="AR76" s="140" t="s">
        <v>314</v>
      </c>
      <c r="AS76" s="135" t="s">
        <v>1068</v>
      </c>
      <c r="AT76" s="122"/>
      <c r="AU76" s="121">
        <v>5.2</v>
      </c>
      <c r="AV76" s="121">
        <v>4.3</v>
      </c>
      <c r="AW76" s="135" t="s">
        <v>1069</v>
      </c>
      <c r="AX76" s="121">
        <v>7.6</v>
      </c>
      <c r="AY76" s="139" t="s">
        <v>1069</v>
      </c>
      <c r="AZ76" s="121">
        <v>2.2000000000000002</v>
      </c>
      <c r="BA76" s="463" t="s">
        <v>1068</v>
      </c>
      <c r="BB76" s="122"/>
      <c r="BC76" s="122">
        <v>6.4</v>
      </c>
      <c r="BD76" s="139" t="s">
        <v>1069</v>
      </c>
      <c r="BE76" s="121">
        <f ca="1">INDIRECT(ADDRESS(MATCH($B76,'【別紙1】標高（入力）'!$B:$B,0),'【別紙1】標高（入力）'!AE$2,4,TRUE,"【別紙1】標高（入力）"))</f>
        <v>7.9000000000002402</v>
      </c>
      <c r="BF76" s="135" t="s">
        <v>1337</v>
      </c>
      <c r="BG76" s="122" t="str">
        <f ca="1">INDIRECT(ADDRESS(MATCH($B76,'【別紙1】標高（入力）'!$B:$B,0),'【別紙1】標高（入力）'!AG$2,4,TRUE,"【別紙1】標高（入力）"))</f>
        <v/>
      </c>
      <c r="BH76" s="122" t="str">
        <f ca="1">INDIRECT(ADDRESS(MATCH($B76,'【別紙1】標高（入力）'!$B:$B,0),'【別紙1】標高（入力）'!AH$2,4,TRUE,"【別紙1】標高（入力）"))</f>
        <v/>
      </c>
      <c r="BI76" s="121">
        <f ca="1">INDIRECT(ADDRESS(MATCH($B76,'【別紙1】標高（入力）'!$B:$B,0),'【別紙1】標高（入力）'!AI$2,4,TRUE,"【別紙1】標高（入力）"))</f>
        <v>10.799999999999699</v>
      </c>
      <c r="BJ76" s="624" t="str">
        <f ca="1">INDIRECT(ADDRESS(MATCH($B76,'【別紙1】標高（入力）'!$B:$B,0),'【別紙1】標高（入力）'!AJ$2,4,TRUE,"【別紙1】標高（入力）"))</f>
        <v/>
      </c>
      <c r="BK76" s="598" t="str">
        <f t="shared" ref="BK76:BK85" ca="1" si="24">IF(AND(ISNUMBER(BI76)*1,ISNUMBER(BH76)*1),BI76,"-")</f>
        <v>-</v>
      </c>
      <c r="BL76" s="604">
        <f t="shared" ref="BL76:BL85" ca="1" si="25">SUM(K76:BI76)</f>
        <v>44.399999999999942</v>
      </c>
      <c r="BM76" s="602" t="str">
        <f ca="1">INDIRECT(ADDRESS(MATCH($B76,'【別紙1】標高（入力）'!$B:$B,0),'【別紙1】標高（入力）'!$N$2,4,TRUE,"【別紙1】標高（入力）"))</f>
        <v>R5</v>
      </c>
      <c r="BN76" s="342">
        <f ca="1">INDIRECT(ADDRESS(MATCH($B76,'【別紙1】標高（入力）'!$B:$B,0),'【別紙1】標高（入力）'!$O$2,4,TRUE,"【別紙1】標高（入力）"))</f>
        <v>7.0330000000000004</v>
      </c>
      <c r="BO76" s="392"/>
    </row>
    <row r="77" spans="1:67" ht="15.95" customHeight="1">
      <c r="A77" s="119">
        <v>329</v>
      </c>
      <c r="B77" s="113" t="s">
        <v>461</v>
      </c>
      <c r="C77" s="115" t="s">
        <v>96</v>
      </c>
      <c r="D77" s="116" t="s">
        <v>718</v>
      </c>
      <c r="E77" s="117" t="s">
        <v>1420</v>
      </c>
      <c r="F77" s="111" t="s">
        <v>287</v>
      </c>
      <c r="G77" s="112" t="s">
        <v>555</v>
      </c>
      <c r="H77" s="112" t="s">
        <v>542</v>
      </c>
      <c r="I77" s="112" t="s">
        <v>54</v>
      </c>
      <c r="J77" s="108" t="s">
        <v>270</v>
      </c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  <c r="AA77" s="412"/>
      <c r="AB77" s="412"/>
      <c r="AC77" s="412"/>
      <c r="AD77" s="412"/>
      <c r="AE77" s="412"/>
      <c r="AF77" s="412"/>
      <c r="AG77" s="228"/>
      <c r="AH77" s="228"/>
      <c r="AI77" s="412"/>
      <c r="AJ77" s="412"/>
      <c r="AK77" s="412"/>
      <c r="AL77" s="412"/>
      <c r="AM77" s="412"/>
      <c r="AN77" s="412"/>
      <c r="AO77" s="412"/>
      <c r="AP77" s="412"/>
      <c r="AQ77" s="412"/>
      <c r="AR77" s="253" t="s">
        <v>289</v>
      </c>
      <c r="AS77" s="135" t="s">
        <v>314</v>
      </c>
      <c r="AT77" s="126">
        <v>6.6</v>
      </c>
      <c r="AU77" s="135" t="s">
        <v>637</v>
      </c>
      <c r="AV77" s="122">
        <v>0</v>
      </c>
      <c r="AW77" s="139" t="s">
        <v>526</v>
      </c>
      <c r="AX77" s="131"/>
      <c r="AY77" s="122"/>
      <c r="AZ77" s="121">
        <v>6.5</v>
      </c>
      <c r="BA77" s="458" t="s">
        <v>1070</v>
      </c>
      <c r="BB77" s="122"/>
      <c r="BC77" s="122"/>
      <c r="BD77" s="122" t="str">
        <f ca="1">INDIRECT(ADDRESS(MATCH($B77,'【別紙1】標高（入力）'!$B:$B,0),'【別紙1】標高（入力）'!AD$2,4,TRUE,"【別紙1】標高（入力）"))</f>
        <v/>
      </c>
      <c r="BE77" s="121">
        <f ca="1">INDIRECT(ADDRESS(MATCH($B77,'【別紙1】標高（入力）'!$B:$B,0),'【別紙1】標高（入力）'!AE$2,4,TRUE,"【別紙1】標高（入力）"))</f>
        <v>19.499999999999851</v>
      </c>
      <c r="BF77" s="122" t="str">
        <f ca="1">INDIRECT(ADDRESS(MATCH($B77,'【別紙1】標高（入力）'!$B:$B,0),'【別紙1】標高（入力）'!AF$2,4,TRUE,"【別紙1】標高（入力）"))</f>
        <v/>
      </c>
      <c r="BG77" s="122" t="str">
        <f ca="1">INDIRECT(ADDRESS(MATCH($B77,'【別紙1】標高（入力）'!$B:$B,0),'【別紙1】標高（入力）'!AG$2,4,TRUE,"【別紙1】標高（入力）"))</f>
        <v/>
      </c>
      <c r="BH77" s="122" t="str">
        <f ca="1">INDIRECT(ADDRESS(MATCH($B77,'【別紙1】標高（入力）'!$B:$B,0),'【別紙1】標高（入力）'!AH$2,4,TRUE,"【別紙1】標高（入力）"))</f>
        <v/>
      </c>
      <c r="BI77" s="122"/>
      <c r="BJ77" s="624" t="str">
        <f ca="1">INDIRECT(ADDRESS(MATCH($B77,'【別紙1】標高（入力）'!$B:$B,0),'【別紙1】標高（入力）'!AJ$2,4,TRUE,"【別紙1】標高（入力）"))</f>
        <v/>
      </c>
      <c r="BK77" s="598" t="str">
        <f t="shared" ca="1" si="24"/>
        <v>-</v>
      </c>
      <c r="BL77" s="604">
        <f t="shared" ca="1" si="25"/>
        <v>32.599999999999852</v>
      </c>
      <c r="BM77" s="600" t="str">
        <f ca="1">INDIRECT(ADDRESS(MATCH($B77,'【別紙1】標高（入力）'!$B:$B,0),'【別紙1】標高（入力）'!$N$2,4,TRUE,"【別紙1】標高（入力）"))</f>
        <v>R1</v>
      </c>
      <c r="BN77" s="340">
        <f ca="1">INDIRECT(ADDRESS(MATCH($B77,'【別紙1】標高（入力）'!$B:$B,0),'【別紙1】標高（入力）'!$O$2,4,TRUE,"【別紙1】標高（入力）"))</f>
        <v>4.8864999999999998</v>
      </c>
      <c r="BO77" s="394"/>
    </row>
    <row r="78" spans="1:67" ht="15.95" customHeight="1">
      <c r="A78" s="119">
        <v>401</v>
      </c>
      <c r="B78" s="107" t="s">
        <v>1177</v>
      </c>
      <c r="C78" s="114" t="s">
        <v>132</v>
      </c>
      <c r="D78" s="110" t="s">
        <v>711</v>
      </c>
      <c r="E78" s="109" t="s">
        <v>134</v>
      </c>
      <c r="F78" s="111" t="s">
        <v>9</v>
      </c>
      <c r="G78" s="112" t="s">
        <v>10</v>
      </c>
      <c r="H78" s="112" t="s">
        <v>541</v>
      </c>
      <c r="I78" s="112" t="s">
        <v>284</v>
      </c>
      <c r="J78" s="112" t="s">
        <v>263</v>
      </c>
      <c r="K78" s="224"/>
      <c r="L78" s="228"/>
      <c r="M78" s="221"/>
      <c r="N78" s="124">
        <v>-0.9</v>
      </c>
      <c r="O78" s="124">
        <v>-2</v>
      </c>
      <c r="P78" s="124">
        <v>14.6</v>
      </c>
      <c r="Q78" s="124">
        <v>5.9</v>
      </c>
      <c r="R78" s="124">
        <v>1.1000000000000001</v>
      </c>
      <c r="S78" s="124">
        <v>-1.6</v>
      </c>
      <c r="T78" s="124">
        <v>2.8</v>
      </c>
      <c r="U78" s="124">
        <v>1.7</v>
      </c>
      <c r="V78" s="124">
        <v>2</v>
      </c>
      <c r="W78" s="136" t="s">
        <v>636</v>
      </c>
      <c r="X78" s="127">
        <v>11.6</v>
      </c>
      <c r="Y78" s="136" t="s">
        <v>652</v>
      </c>
      <c r="Z78" s="122"/>
      <c r="AA78" s="122"/>
      <c r="AB78" s="127">
        <v>4</v>
      </c>
      <c r="AC78" s="136" t="s">
        <v>1273</v>
      </c>
      <c r="AD78" s="122"/>
      <c r="AE78" s="127">
        <v>4.3</v>
      </c>
      <c r="AF78" s="136" t="s">
        <v>1273</v>
      </c>
      <c r="AG78" s="122"/>
      <c r="AH78" s="122">
        <v>3.7</v>
      </c>
      <c r="AI78" s="139" t="s">
        <v>707</v>
      </c>
      <c r="AJ78" s="122"/>
      <c r="AK78" s="122"/>
      <c r="AL78" s="122"/>
      <c r="AM78" s="122"/>
      <c r="AN78" s="122"/>
      <c r="AO78" s="122"/>
      <c r="AP78" s="121">
        <v>24.8</v>
      </c>
      <c r="AQ78" s="135" t="s">
        <v>1070</v>
      </c>
      <c r="AR78" s="122"/>
      <c r="AS78" s="122"/>
      <c r="AT78" s="122"/>
      <c r="AU78" s="121">
        <v>-1.8</v>
      </c>
      <c r="AV78" s="121">
        <v>1.4</v>
      </c>
      <c r="AW78" s="139" t="s">
        <v>1070</v>
      </c>
      <c r="AX78" s="122"/>
      <c r="AY78" s="122"/>
      <c r="AZ78" s="122"/>
      <c r="BA78" s="460">
        <v>2.2999999999999998</v>
      </c>
      <c r="BB78" s="139" t="s">
        <v>1336</v>
      </c>
      <c r="BC78" s="122"/>
      <c r="BD78" s="122" t="str">
        <f ca="1">INDIRECT(ADDRESS(MATCH($B78,'【別紙1】標高（入力）'!$B:$B,0),'【別紙1】標高（入力）'!AD$2,4,TRUE,"【別紙1】標高（入力）"))</f>
        <v/>
      </c>
      <c r="BE78" s="122" t="str">
        <f ca="1">INDIRECT(ADDRESS(MATCH($B78,'【別紙1】標高（入力）'!$B:$B,0),'【別紙1】標高（入力）'!AE$2,4,TRUE,"【別紙1】標高（入力）"))</f>
        <v/>
      </c>
      <c r="BF78" s="121">
        <f ca="1">INDIRECT(ADDRESS(MATCH($B78,'【別紙1】標高（入力）'!$B:$B,0),'【別紙1】標高（入力）'!AF$2,4,TRUE,"【別紙1】標高（入力）"))</f>
        <v>4.9999999999990052</v>
      </c>
      <c r="BG78" s="122" t="str">
        <f ca="1">INDIRECT(ADDRESS(MATCH($B78,'【別紙1】標高（入力）'!$B:$B,0),'【別紙1】標高（入力）'!AG$2,4,TRUE,"【別紙1】標高（入力）"))</f>
        <v/>
      </c>
      <c r="BH78" s="122" t="str">
        <f ca="1">INDIRECT(ADDRESS(MATCH($B78,'【別紙1】標高（入力）'!$B:$B,0),'【別紙1】標高（入力）'!AH$2,4,TRUE,"【別紙1】標高（入力）"))</f>
        <v/>
      </c>
      <c r="BI78" s="122"/>
      <c r="BJ78" s="624" t="str">
        <f ca="1">INDIRECT(ADDRESS(MATCH($B78,'【別紙1】標高（入力）'!$B:$B,0),'【別紙1】標高（入力）'!AJ$2,4,TRUE,"【別紙1】標高（入力）"))</f>
        <v/>
      </c>
      <c r="BK78" s="598" t="str">
        <f t="shared" ca="1" si="24"/>
        <v>-</v>
      </c>
      <c r="BL78" s="604">
        <f t="shared" ca="1" si="25"/>
        <v>78.899999999999011</v>
      </c>
      <c r="BM78" s="600" t="str">
        <f ca="1">INDIRECT(ADDRESS(MATCH($B78,'【別紙1】標高（入力）'!$B:$B,0),'【別紙1】標高（入力）'!$N$2,4,TRUE,"【別紙1】標高（入力）"))</f>
        <v>R2</v>
      </c>
      <c r="BN78" s="340">
        <f ca="1">INDIRECT(ADDRESS(MATCH($B78,'【別紙1】標高（入力）'!$B:$B,0),'【別紙1】標高（入力）'!$O$2,4,TRUE,"【別紙1】標高（入力）"))</f>
        <v>14.5783</v>
      </c>
      <c r="BO78" s="392"/>
    </row>
    <row r="79" spans="1:67" ht="15.95" customHeight="1">
      <c r="A79" s="119">
        <v>402</v>
      </c>
      <c r="B79" s="591">
        <v>8560</v>
      </c>
      <c r="C79" s="114" t="s">
        <v>132</v>
      </c>
      <c r="D79" s="110" t="s">
        <v>573</v>
      </c>
      <c r="E79" s="597" t="s">
        <v>1421</v>
      </c>
      <c r="F79" s="111" t="s">
        <v>12</v>
      </c>
      <c r="G79" s="112" t="s">
        <v>73</v>
      </c>
      <c r="H79" s="112" t="s">
        <v>541</v>
      </c>
      <c r="I79" s="112" t="s">
        <v>284</v>
      </c>
      <c r="J79" s="112" t="s">
        <v>263</v>
      </c>
      <c r="K79" s="224"/>
      <c r="L79" s="228"/>
      <c r="M79" s="228"/>
      <c r="N79" s="221"/>
      <c r="O79" s="136" t="s">
        <v>636</v>
      </c>
      <c r="P79" s="127">
        <v>12.3</v>
      </c>
      <c r="Q79" s="124">
        <v>4.7</v>
      </c>
      <c r="R79" s="124">
        <v>2.2000000000000002</v>
      </c>
      <c r="S79" s="124">
        <v>-1.6</v>
      </c>
      <c r="T79" s="124">
        <v>4.0999999999999996</v>
      </c>
      <c r="U79" s="124">
        <v>0.7</v>
      </c>
      <c r="V79" s="124">
        <v>-0.3</v>
      </c>
      <c r="W79" s="136" t="s">
        <v>636</v>
      </c>
      <c r="X79" s="127">
        <v>8.3000000000000007</v>
      </c>
      <c r="Y79" s="136" t="s">
        <v>652</v>
      </c>
      <c r="Z79" s="122"/>
      <c r="AA79" s="122"/>
      <c r="AB79" s="127">
        <v>6.4</v>
      </c>
      <c r="AC79" s="136" t="s">
        <v>1273</v>
      </c>
      <c r="AD79" s="122"/>
      <c r="AE79" s="127">
        <v>6.2</v>
      </c>
      <c r="AF79" s="136" t="s">
        <v>1273</v>
      </c>
      <c r="AG79" s="122"/>
      <c r="AH79" s="122">
        <v>5.3</v>
      </c>
      <c r="AI79" s="139" t="s">
        <v>685</v>
      </c>
      <c r="AJ79" s="122"/>
      <c r="AK79" s="122"/>
      <c r="AL79" s="122"/>
      <c r="AM79" s="122"/>
      <c r="AN79" s="121">
        <v>10.9</v>
      </c>
      <c r="AO79" s="139" t="s">
        <v>637</v>
      </c>
      <c r="AP79" s="121">
        <v>15.2</v>
      </c>
      <c r="AQ79" s="135" t="s">
        <v>1070</v>
      </c>
      <c r="AR79" s="122"/>
      <c r="AS79" s="122"/>
      <c r="AT79" s="122"/>
      <c r="AU79" s="121">
        <v>-1.1000000000000001</v>
      </c>
      <c r="AV79" s="121">
        <v>1.7</v>
      </c>
      <c r="AW79" s="139" t="s">
        <v>1070</v>
      </c>
      <c r="AX79" s="122"/>
      <c r="AY79" s="122"/>
      <c r="AZ79" s="122"/>
      <c r="BA79" s="460">
        <v>2</v>
      </c>
      <c r="BB79" s="139" t="s">
        <v>1336</v>
      </c>
      <c r="BC79" s="122"/>
      <c r="BD79" s="122" t="str">
        <f ca="1">INDIRECT(ADDRESS(MATCH($B79,'【別紙1】標高（入力）'!$B:$B,0),'【別紙1】標高（入力）'!AD$2,4,TRUE,"【別紙1】標高（入力）"))</f>
        <v/>
      </c>
      <c r="BE79" s="122" t="str">
        <f ca="1">INDIRECT(ADDRESS(MATCH($B79,'【別紙1】標高（入力）'!$B:$B,0),'【別紙1】標高（入力）'!AE$2,4,TRUE,"【別紙1】標高（入力）"))</f>
        <v/>
      </c>
      <c r="BF79" s="121">
        <f ca="1">INDIRECT(ADDRESS(MATCH($B79,'【別紙1】標高（入力）'!$B:$B,0),'【別紙1】標高（入力）'!AF$2,4,TRUE,"【別紙1】標高（入力）"))</f>
        <v>10.399999999997078</v>
      </c>
      <c r="BG79" s="122" t="str">
        <f ca="1">INDIRECT(ADDRESS(MATCH($B79,'【別紙1】標高（入力）'!$B:$B,0),'【別紙1】標高（入力）'!AG$2,4,TRUE,"【別紙1】標高（入力）"))</f>
        <v/>
      </c>
      <c r="BH79" s="122" t="str">
        <f ca="1">INDIRECT(ADDRESS(MATCH($B79,'【別紙1】標高（入力）'!$B:$B,0),'【別紙1】標高（入力）'!AH$2,4,TRUE,"【別紙1】標高（入力）"))</f>
        <v/>
      </c>
      <c r="BI79" s="122"/>
      <c r="BJ79" s="624" t="str">
        <f ca="1">INDIRECT(ADDRESS(MATCH($B79,'【別紙1】標高（入力）'!$B:$B,0),'【別紙1】標高（入力）'!AJ$2,4,TRUE,"【別紙1】標高（入力）"))</f>
        <v/>
      </c>
      <c r="BK79" s="598" t="str">
        <f t="shared" ca="1" si="24"/>
        <v>-</v>
      </c>
      <c r="BL79" s="604">
        <f t="shared" ca="1" si="25"/>
        <v>87.399999999997078</v>
      </c>
      <c r="BM79" s="600" t="str">
        <f ca="1">INDIRECT(ADDRESS(MATCH($B79,'【別紙1】標高（入力）'!$B:$B,0),'【別紙1】標高（入力）'!$N$2,4,TRUE,"【別紙1】標高（入力）"))</f>
        <v>R2</v>
      </c>
      <c r="BN79" s="340">
        <f ca="1">INDIRECT(ADDRESS(MATCH($B79,'【別紙1】標高（入力）'!$B:$B,0),'【別紙1】標高（入力）'!$O$2,4,TRUE,"【別紙1】標高（入力）"))</f>
        <v>20.711200000000002</v>
      </c>
      <c r="BO79" s="392"/>
    </row>
    <row r="80" spans="1:67" ht="15.95" customHeight="1">
      <c r="A80" s="119">
        <v>403</v>
      </c>
      <c r="B80" s="107" t="s">
        <v>464</v>
      </c>
      <c r="C80" s="114" t="s">
        <v>132</v>
      </c>
      <c r="D80" s="110" t="s">
        <v>668</v>
      </c>
      <c r="E80" s="109" t="s">
        <v>138</v>
      </c>
      <c r="F80" s="111" t="s">
        <v>9</v>
      </c>
      <c r="G80" s="112" t="s">
        <v>10</v>
      </c>
      <c r="H80" s="112" t="s">
        <v>541</v>
      </c>
      <c r="I80" s="112" t="s">
        <v>284</v>
      </c>
      <c r="J80" s="112" t="s">
        <v>263</v>
      </c>
      <c r="K80" s="224"/>
      <c r="L80" s="228"/>
      <c r="M80" s="221"/>
      <c r="N80" s="136" t="s">
        <v>1273</v>
      </c>
      <c r="O80" s="122"/>
      <c r="P80" s="127">
        <v>5.6</v>
      </c>
      <c r="Q80" s="124">
        <v>6.8</v>
      </c>
      <c r="R80" s="124">
        <v>0.4</v>
      </c>
      <c r="S80" s="136" t="s">
        <v>636</v>
      </c>
      <c r="T80" s="127">
        <v>2.4</v>
      </c>
      <c r="U80" s="136" t="s">
        <v>652</v>
      </c>
      <c r="V80" s="122"/>
      <c r="W80" s="122"/>
      <c r="X80" s="127">
        <v>9.1</v>
      </c>
      <c r="Y80" s="136" t="s">
        <v>652</v>
      </c>
      <c r="Z80" s="122"/>
      <c r="AA80" s="122"/>
      <c r="AB80" s="127">
        <v>10.5</v>
      </c>
      <c r="AC80" s="136" t="s">
        <v>1273</v>
      </c>
      <c r="AD80" s="122"/>
      <c r="AE80" s="127">
        <v>3.4</v>
      </c>
      <c r="AF80" s="136" t="s">
        <v>1273</v>
      </c>
      <c r="AG80" s="122"/>
      <c r="AH80" s="122">
        <v>3.2</v>
      </c>
      <c r="AI80" s="139" t="s">
        <v>707</v>
      </c>
      <c r="AJ80" s="122"/>
      <c r="AK80" s="122"/>
      <c r="AL80" s="122"/>
      <c r="AM80" s="122"/>
      <c r="AN80" s="122"/>
      <c r="AO80" s="122"/>
      <c r="AP80" s="121">
        <v>26.6</v>
      </c>
      <c r="AQ80" s="139" t="s">
        <v>1071</v>
      </c>
      <c r="AR80" s="122"/>
      <c r="AS80" s="122"/>
      <c r="AT80" s="122">
        <v>-2</v>
      </c>
      <c r="AU80" s="125">
        <v>-1</v>
      </c>
      <c r="AV80" s="139" t="s">
        <v>1071</v>
      </c>
      <c r="AW80" s="122"/>
      <c r="AX80" s="122"/>
      <c r="AY80" s="122">
        <v>3.3</v>
      </c>
      <c r="AZ80" s="139" t="s">
        <v>1069</v>
      </c>
      <c r="BA80" s="460">
        <v>-0.6</v>
      </c>
      <c r="BB80" s="139" t="s">
        <v>1068</v>
      </c>
      <c r="BC80" s="122"/>
      <c r="BD80" s="122">
        <f ca="1">INDIRECT(ADDRESS(MATCH($B80,'【別紙1】標高（入力）'!$B:$B,0),'【別紙1】標高（入力）'!AD$2,4,TRUE,"【別紙1】標高（入力）"))</f>
        <v>-0.70000000000192131</v>
      </c>
      <c r="BE80" s="139" t="s">
        <v>1333</v>
      </c>
      <c r="BF80" s="121">
        <f ca="1">INDIRECT(ADDRESS(MATCH($B80,'【別紙1】標高（入力）'!$B:$B,0),'【別紙1】標高（入力）'!AF$2,4,TRUE,"【別紙1】標高（入力）"))</f>
        <v>3.8000000000018019</v>
      </c>
      <c r="BG80" s="122" t="str">
        <f ca="1">INDIRECT(ADDRESS(MATCH($B80,'【別紙1】標高（入力）'!$B:$B,0),'【別紙1】標高（入力）'!AG$2,4,TRUE,"【別紙1】標高（入力）"))</f>
        <v/>
      </c>
      <c r="BH80" s="122" t="str">
        <f ca="1">INDIRECT(ADDRESS(MATCH($B80,'【別紙1】標高（入力）'!$B:$B,0),'【別紙1】標高（入力）'!AH$2,4,TRUE,"【別紙1】標高（入力）"))</f>
        <v/>
      </c>
      <c r="BI80" s="122"/>
      <c r="BJ80" s="624" t="str">
        <f ca="1">INDIRECT(ADDRESS(MATCH($B80,'【別紙1】標高（入力）'!$B:$B,0),'【別紙1】標高（入力）'!AJ$2,4,TRUE,"【別紙1】標高（入力）"))</f>
        <v/>
      </c>
      <c r="BK80" s="598" t="str">
        <f t="shared" ca="1" si="24"/>
        <v>-</v>
      </c>
      <c r="BL80" s="604">
        <f t="shared" ca="1" si="25"/>
        <v>70.799999999999883</v>
      </c>
      <c r="BM80" s="600" t="str">
        <f ca="1">INDIRECT(ADDRESS(MATCH($B80,'【別紙1】標高（入力）'!$B:$B,0),'【別紙1】標高（入力）'!$N$2,4,TRUE,"【別紙1】標高（入力）"))</f>
        <v>R2</v>
      </c>
      <c r="BN80" s="340">
        <f ca="1">INDIRECT(ADDRESS(MATCH($B80,'【別紙1】標高（入力）'!$B:$B,0),'【別紙1】標高（入力）'!$O$2,4,TRUE,"【別紙1】標高（入力）"))</f>
        <v>23.9452</v>
      </c>
      <c r="BO80" s="392"/>
    </row>
    <row r="81" spans="1:67" ht="15.95" customHeight="1">
      <c r="A81" s="119">
        <v>404</v>
      </c>
      <c r="B81" s="107" t="s">
        <v>465</v>
      </c>
      <c r="C81" s="114" t="s">
        <v>132</v>
      </c>
      <c r="D81" s="110" t="s">
        <v>643</v>
      </c>
      <c r="E81" s="109" t="s">
        <v>140</v>
      </c>
      <c r="F81" s="111" t="s">
        <v>9</v>
      </c>
      <c r="G81" s="112" t="s">
        <v>10</v>
      </c>
      <c r="H81" s="112" t="s">
        <v>541</v>
      </c>
      <c r="I81" s="112" t="s">
        <v>141</v>
      </c>
      <c r="J81" s="112" t="s">
        <v>547</v>
      </c>
      <c r="K81" s="224"/>
      <c r="L81" s="228"/>
      <c r="M81" s="221"/>
      <c r="N81" s="124">
        <v>-5</v>
      </c>
      <c r="O81" s="124">
        <v>-5.2</v>
      </c>
      <c r="P81" s="124">
        <v>14.7</v>
      </c>
      <c r="Q81" s="124">
        <v>3.4</v>
      </c>
      <c r="R81" s="124">
        <v>3</v>
      </c>
      <c r="S81" s="124">
        <v>-2.8</v>
      </c>
      <c r="T81" s="124">
        <v>0.8</v>
      </c>
      <c r="U81" s="124">
        <v>2.2000000000000002</v>
      </c>
      <c r="V81" s="124">
        <v>-3.5</v>
      </c>
      <c r="W81" s="136" t="s">
        <v>679</v>
      </c>
      <c r="X81" s="122"/>
      <c r="Y81" s="122"/>
      <c r="Z81" s="122"/>
      <c r="AA81" s="122"/>
      <c r="AB81" s="127">
        <v>17.8</v>
      </c>
      <c r="AC81" s="136" t="s">
        <v>1273</v>
      </c>
      <c r="AD81" s="122"/>
      <c r="AE81" s="127">
        <v>1.1000000000000001</v>
      </c>
      <c r="AF81" s="136" t="s">
        <v>1273</v>
      </c>
      <c r="AG81" s="122"/>
      <c r="AH81" s="122">
        <v>1.8</v>
      </c>
      <c r="AI81" s="139" t="s">
        <v>685</v>
      </c>
      <c r="AJ81" s="122"/>
      <c r="AK81" s="122"/>
      <c r="AL81" s="122"/>
      <c r="AM81" s="122"/>
      <c r="AN81" s="121">
        <v>7.5</v>
      </c>
      <c r="AO81" s="139" t="s">
        <v>637</v>
      </c>
      <c r="AP81" s="121">
        <v>14.4</v>
      </c>
      <c r="AQ81" s="139" t="s">
        <v>1071</v>
      </c>
      <c r="AR81" s="122"/>
      <c r="AS81" s="122"/>
      <c r="AT81" s="122">
        <v>-3.1</v>
      </c>
      <c r="AU81" s="126">
        <v>-0.1</v>
      </c>
      <c r="AV81" s="121">
        <v>2.2000000000000002</v>
      </c>
      <c r="AW81" s="139" t="s">
        <v>1068</v>
      </c>
      <c r="AX81" s="122"/>
      <c r="AY81" s="122">
        <v>1.3</v>
      </c>
      <c r="AZ81" s="139" t="s">
        <v>1069</v>
      </c>
      <c r="BA81" s="460">
        <v>-2.1</v>
      </c>
      <c r="BB81" s="139" t="s">
        <v>1068</v>
      </c>
      <c r="BC81" s="122"/>
      <c r="BD81" s="122">
        <f ca="1">INDIRECT(ADDRESS(MATCH($B81,'【別紙1】標高（入力）'!$B:$B,0),'【別紙1】標高（入力）'!AD$2,4,TRUE,"【別紙1】標高（入力）"))</f>
        <v>-0.70000000000192131</v>
      </c>
      <c r="BE81" s="139" t="s">
        <v>1333</v>
      </c>
      <c r="BF81" s="121">
        <f ca="1">INDIRECT(ADDRESS(MATCH($B81,'【別紙1】標高（入力）'!$B:$B,0),'【別紙1】標高（入力）'!AF$2,4,TRUE,"【別紙1】標高（入力）"))</f>
        <v>2.6000000000010459</v>
      </c>
      <c r="BG81" s="122" t="str">
        <f ca="1">INDIRECT(ADDRESS(MATCH($B81,'【別紙1】標高（入力）'!$B:$B,0),'【別紙1】標高（入力）'!AG$2,4,TRUE,"【別紙1】標高（入力）"))</f>
        <v/>
      </c>
      <c r="BH81" s="122" t="str">
        <f ca="1">INDIRECT(ADDRESS(MATCH($B81,'【別紙1】標高（入力）'!$B:$B,0),'【別紙1】標高（入力）'!AH$2,4,TRUE,"【別紙1】標高（入力）"))</f>
        <v/>
      </c>
      <c r="BI81" s="122"/>
      <c r="BJ81" s="624" t="str">
        <f ca="1">INDIRECT(ADDRESS(MATCH($B81,'【別紙1】標高（入力）'!$B:$B,0),'【別紙1】標高（入力）'!AJ$2,4,TRUE,"【別紙1】標高（入力）"))</f>
        <v/>
      </c>
      <c r="BK81" s="598" t="str">
        <f t="shared" ca="1" si="24"/>
        <v>-</v>
      </c>
      <c r="BL81" s="604">
        <f t="shared" ca="1" si="25"/>
        <v>50.299999999999123</v>
      </c>
      <c r="BM81" s="600" t="str">
        <f ca="1">INDIRECT(ADDRESS(MATCH($B81,'【別紙1】標高（入力）'!$B:$B,0),'【別紙1】標高（入力）'!$N$2,4,TRUE,"【別紙1】標高（入力）"))</f>
        <v>R2</v>
      </c>
      <c r="BN81" s="340">
        <f ca="1">INDIRECT(ADDRESS(MATCH($B81,'【別紙1】標高（入力）'!$B:$B,0),'【別紙1】標高（入力）'!$O$2,4,TRUE,"【別紙1】標高（入力）"))</f>
        <v>23.8627</v>
      </c>
      <c r="BO81" s="392"/>
    </row>
    <row r="82" spans="1:67" ht="15.95" customHeight="1">
      <c r="A82" s="119">
        <v>405</v>
      </c>
      <c r="B82" s="591">
        <v>8559</v>
      </c>
      <c r="C82" s="114" t="s">
        <v>132</v>
      </c>
      <c r="D82" s="110" t="s">
        <v>669</v>
      </c>
      <c r="E82" s="597" t="s">
        <v>1422</v>
      </c>
      <c r="F82" s="111" t="s">
        <v>12</v>
      </c>
      <c r="G82" s="112" t="s">
        <v>10</v>
      </c>
      <c r="H82" s="112" t="s">
        <v>541</v>
      </c>
      <c r="I82" s="112" t="s">
        <v>141</v>
      </c>
      <c r="J82" s="112" t="s">
        <v>547</v>
      </c>
      <c r="K82" s="224"/>
      <c r="L82" s="228"/>
      <c r="M82" s="221"/>
      <c r="N82" s="124">
        <v>-4.9000000000000004</v>
      </c>
      <c r="O82" s="124">
        <v>-6.2</v>
      </c>
      <c r="P82" s="124">
        <v>14.8</v>
      </c>
      <c r="Q82" s="124">
        <v>3.8</v>
      </c>
      <c r="R82" s="124">
        <v>3.7</v>
      </c>
      <c r="S82" s="136" t="s">
        <v>636</v>
      </c>
      <c r="T82" s="127">
        <v>-2.2000000000000002</v>
      </c>
      <c r="U82" s="136" t="s">
        <v>636</v>
      </c>
      <c r="V82" s="127">
        <v>-2.1</v>
      </c>
      <c r="W82" s="136" t="s">
        <v>679</v>
      </c>
      <c r="X82" s="122"/>
      <c r="Y82" s="122"/>
      <c r="Z82" s="122"/>
      <c r="AA82" s="122"/>
      <c r="AB82" s="127">
        <v>19.100000000000001</v>
      </c>
      <c r="AC82" s="136" t="s">
        <v>1273</v>
      </c>
      <c r="AD82" s="122"/>
      <c r="AE82" s="127">
        <v>-1.5</v>
      </c>
      <c r="AF82" s="136" t="s">
        <v>1273</v>
      </c>
      <c r="AG82" s="122"/>
      <c r="AH82" s="122">
        <v>2.1</v>
      </c>
      <c r="AI82" s="139" t="s">
        <v>685</v>
      </c>
      <c r="AJ82" s="122"/>
      <c r="AK82" s="122"/>
      <c r="AL82" s="122"/>
      <c r="AM82" s="122"/>
      <c r="AN82" s="121">
        <v>8.5</v>
      </c>
      <c r="AO82" s="139" t="s">
        <v>637</v>
      </c>
      <c r="AP82" s="121">
        <v>14.6</v>
      </c>
      <c r="AQ82" s="139" t="s">
        <v>1071</v>
      </c>
      <c r="AR82" s="122"/>
      <c r="AS82" s="122"/>
      <c r="AT82" s="122">
        <v>-3.2</v>
      </c>
      <c r="AU82" s="125">
        <v>1</v>
      </c>
      <c r="AV82" s="125">
        <v>2.1</v>
      </c>
      <c r="AW82" s="139" t="s">
        <v>1068</v>
      </c>
      <c r="AX82" s="122"/>
      <c r="AY82" s="122">
        <v>0.9</v>
      </c>
      <c r="AZ82" s="139" t="s">
        <v>1069</v>
      </c>
      <c r="BA82" s="460">
        <v>-1.3</v>
      </c>
      <c r="BB82" s="139" t="s">
        <v>1068</v>
      </c>
      <c r="BC82" s="122"/>
      <c r="BD82" s="122">
        <f ca="1">INDIRECT(ADDRESS(MATCH($B82,'【別紙1】標高（入力）'!$B:$B,0),'【別紙1】標高（入力）'!AD$2,4,TRUE,"【別紙1】標高（入力）"))</f>
        <v>-9.9999999999766942E-2</v>
      </c>
      <c r="BE82" s="139" t="s">
        <v>1333</v>
      </c>
      <c r="BF82" s="121">
        <f ca="1">INDIRECT(ADDRESS(MATCH($B82,'【別紙1】標高（入力）'!$B:$B,0),'【別紙1】標高（入力）'!AF$2,4,TRUE,"【別紙1】標高（入力）"))</f>
        <v>2.9000000000003467</v>
      </c>
      <c r="BG82" s="122" t="str">
        <f ca="1">INDIRECT(ADDRESS(MATCH($B82,'【別紙1】標高（入力）'!$B:$B,0),'【別紙1】標高（入力）'!AG$2,4,TRUE,"【別紙1】標高（入力）"))</f>
        <v/>
      </c>
      <c r="BH82" s="122" t="str">
        <f ca="1">INDIRECT(ADDRESS(MATCH($B82,'【別紙1】標高（入力）'!$B:$B,0),'【別紙1】標高（入力）'!AH$2,4,TRUE,"【別紙1】標高（入力）"))</f>
        <v/>
      </c>
      <c r="BI82" s="122"/>
      <c r="BJ82" s="624" t="str">
        <f ca="1">INDIRECT(ADDRESS(MATCH($B82,'【別紙1】標高（入力）'!$B:$B,0),'【別紙1】標高（入力）'!AJ$2,4,TRUE,"【別紙1】標高（入力）"))</f>
        <v/>
      </c>
      <c r="BK82" s="598" t="str">
        <f t="shared" ca="1" si="24"/>
        <v>-</v>
      </c>
      <c r="BL82" s="604">
        <f t="shared" ca="1" si="25"/>
        <v>52.000000000000583</v>
      </c>
      <c r="BM82" s="600" t="str">
        <f ca="1">INDIRECT(ADDRESS(MATCH($B82,'【別紙1】標高（入力）'!$B:$B,0),'【別紙1】標高（入力）'!$N$2,4,TRUE,"【別紙1】標高（入力）"))</f>
        <v>R2</v>
      </c>
      <c r="BN82" s="340">
        <f ca="1">INDIRECT(ADDRESS(MATCH($B82,'【別紙1】標高（入力）'!$B:$B,0),'【別紙1】標高（入力）'!$O$2,4,TRUE,"【別紙1】標高（入力）"))</f>
        <v>23.873999999999999</v>
      </c>
      <c r="BO82" s="392"/>
    </row>
    <row r="83" spans="1:67" ht="15.95" customHeight="1">
      <c r="A83" s="119">
        <v>406</v>
      </c>
      <c r="B83" s="591">
        <v>8558</v>
      </c>
      <c r="C83" s="114" t="s">
        <v>132</v>
      </c>
      <c r="D83" s="110" t="s">
        <v>644</v>
      </c>
      <c r="E83" s="597" t="s">
        <v>1423</v>
      </c>
      <c r="F83" s="111" t="s">
        <v>12</v>
      </c>
      <c r="G83" s="112" t="s">
        <v>10</v>
      </c>
      <c r="H83" s="112" t="s">
        <v>541</v>
      </c>
      <c r="I83" s="112" t="s">
        <v>141</v>
      </c>
      <c r="J83" s="112" t="s">
        <v>547</v>
      </c>
      <c r="K83" s="224"/>
      <c r="L83" s="228"/>
      <c r="M83" s="221"/>
      <c r="N83" s="124">
        <v>-2.4</v>
      </c>
      <c r="O83" s="124">
        <v>-7.7</v>
      </c>
      <c r="P83" s="124">
        <v>14.2</v>
      </c>
      <c r="Q83" s="124">
        <v>3.8</v>
      </c>
      <c r="R83" s="124">
        <v>6.9</v>
      </c>
      <c r="S83" s="136" t="s">
        <v>636</v>
      </c>
      <c r="T83" s="127">
        <v>-2.5</v>
      </c>
      <c r="U83" s="136" t="s">
        <v>636</v>
      </c>
      <c r="V83" s="127">
        <v>-1.9</v>
      </c>
      <c r="W83" s="136" t="s">
        <v>679</v>
      </c>
      <c r="X83" s="122"/>
      <c r="Y83" s="122"/>
      <c r="Z83" s="122"/>
      <c r="AA83" s="122"/>
      <c r="AB83" s="127">
        <v>23.3</v>
      </c>
      <c r="AC83" s="136" t="s">
        <v>1273</v>
      </c>
      <c r="AD83" s="122"/>
      <c r="AE83" s="127">
        <v>1.2</v>
      </c>
      <c r="AF83" s="136" t="s">
        <v>1273</v>
      </c>
      <c r="AG83" s="122"/>
      <c r="AH83" s="122">
        <v>2.6</v>
      </c>
      <c r="AI83" s="139" t="s">
        <v>707</v>
      </c>
      <c r="AJ83" s="122"/>
      <c r="AK83" s="122"/>
      <c r="AL83" s="122"/>
      <c r="AM83" s="122"/>
      <c r="AN83" s="122"/>
      <c r="AO83" s="122"/>
      <c r="AP83" s="121">
        <v>24.8</v>
      </c>
      <c r="AQ83" s="135" t="s">
        <v>1070</v>
      </c>
      <c r="AR83" s="122"/>
      <c r="AS83" s="122"/>
      <c r="AT83" s="122"/>
      <c r="AU83" s="122">
        <v>-1.9</v>
      </c>
      <c r="AV83" s="126">
        <v>0.7</v>
      </c>
      <c r="AW83" s="139" t="s">
        <v>1068</v>
      </c>
      <c r="AX83" s="122"/>
      <c r="AY83" s="122">
        <v>2.8</v>
      </c>
      <c r="AZ83" s="139" t="s">
        <v>1069</v>
      </c>
      <c r="BA83" s="460">
        <v>-2.2999999999999998</v>
      </c>
      <c r="BB83" s="139" t="s">
        <v>1068</v>
      </c>
      <c r="BC83" s="122"/>
      <c r="BD83" s="122">
        <f ca="1">INDIRECT(ADDRESS(MATCH($B83,'【別紙1】標高（入力）'!$B:$B,0),'【別紙1】標高（入力）'!AD$2,4,TRUE,"【別紙1】標高（入力）"))</f>
        <v>1.0000000000012221</v>
      </c>
      <c r="BE83" s="139" t="s">
        <v>1333</v>
      </c>
      <c r="BF83" s="121">
        <f ca="1">INDIRECT(ADDRESS(MATCH($B83,'【別紙1】標高（入力）'!$B:$B,0),'【別紙1】標高（入力）'!AF$2,4,TRUE,"【別紙1】標高（入力）"))</f>
        <v>1.1999999999972033</v>
      </c>
      <c r="BG83" s="122" t="str">
        <f ca="1">INDIRECT(ADDRESS(MATCH($B83,'【別紙1】標高（入力）'!$B:$B,0),'【別紙1】標高（入力）'!AG$2,4,TRUE,"【別紙1】標高（入力）"))</f>
        <v/>
      </c>
      <c r="BH83" s="122" t="str">
        <f ca="1">INDIRECT(ADDRESS(MATCH($B83,'【別紙1】標高（入力）'!$B:$B,0),'【別紙1】標高（入力）'!AH$2,4,TRUE,"【別紙1】標高（入力）"))</f>
        <v/>
      </c>
      <c r="BI83" s="122"/>
      <c r="BJ83" s="624" t="str">
        <f ca="1">INDIRECT(ADDRESS(MATCH($B83,'【別紙1】標高（入力）'!$B:$B,0),'【別紙1】標高（入力）'!AJ$2,4,TRUE,"【別紙1】標高（入力）"))</f>
        <v/>
      </c>
      <c r="BK83" s="598" t="str">
        <f t="shared" ca="1" si="24"/>
        <v>-</v>
      </c>
      <c r="BL83" s="604">
        <f t="shared" ca="1" si="25"/>
        <v>63.799999999998441</v>
      </c>
      <c r="BM83" s="600" t="str">
        <f ca="1">INDIRECT(ADDRESS(MATCH($B83,'【別紙1】標高（入力）'!$B:$B,0),'【別紙1】標高（入力）'!$N$2,4,TRUE,"【別紙1】標高（入力）"))</f>
        <v>R2</v>
      </c>
      <c r="BN83" s="340">
        <f ca="1">INDIRECT(ADDRESS(MATCH($B83,'【別紙1】標高（入力）'!$B:$B,0),'【別紙1】標高（入力）'!$O$2,4,TRUE,"【別紙1】標高（入力）"))</f>
        <v>22.080200000000001</v>
      </c>
      <c r="BO83" s="392"/>
    </row>
    <row r="84" spans="1:67" ht="15.95" customHeight="1">
      <c r="A84" s="119">
        <v>407</v>
      </c>
      <c r="B84" s="107" t="s">
        <v>468</v>
      </c>
      <c r="C84" s="114" t="s">
        <v>132</v>
      </c>
      <c r="D84" s="110" t="s">
        <v>716</v>
      </c>
      <c r="E84" s="109" t="s">
        <v>146</v>
      </c>
      <c r="F84" s="111" t="s">
        <v>9</v>
      </c>
      <c r="G84" s="112" t="s">
        <v>10</v>
      </c>
      <c r="H84" s="112" t="s">
        <v>541</v>
      </c>
      <c r="I84" s="112" t="s">
        <v>141</v>
      </c>
      <c r="J84" s="112" t="s">
        <v>547</v>
      </c>
      <c r="K84" s="224"/>
      <c r="L84" s="228"/>
      <c r="M84" s="221"/>
      <c r="N84" s="124">
        <v>-3.2</v>
      </c>
      <c r="O84" s="124">
        <v>-6.4</v>
      </c>
      <c r="P84" s="124">
        <v>15.6</v>
      </c>
      <c r="Q84" s="124">
        <v>2</v>
      </c>
      <c r="R84" s="124">
        <v>5.3</v>
      </c>
      <c r="S84" s="136" t="s">
        <v>636</v>
      </c>
      <c r="T84" s="127">
        <v>-1.9</v>
      </c>
      <c r="U84" s="136" t="s">
        <v>636</v>
      </c>
      <c r="V84" s="127">
        <v>0</v>
      </c>
      <c r="W84" s="136" t="s">
        <v>679</v>
      </c>
      <c r="X84" s="122"/>
      <c r="Y84" s="122"/>
      <c r="Z84" s="122"/>
      <c r="AA84" s="122"/>
      <c r="AB84" s="127">
        <v>19.100000000000001</v>
      </c>
      <c r="AC84" s="136" t="s">
        <v>1273</v>
      </c>
      <c r="AD84" s="122"/>
      <c r="AE84" s="127">
        <v>0.2</v>
      </c>
      <c r="AF84" s="136" t="s">
        <v>1273</v>
      </c>
      <c r="AG84" s="122"/>
      <c r="AH84" s="122">
        <v>3.4</v>
      </c>
      <c r="AI84" s="139" t="s">
        <v>685</v>
      </c>
      <c r="AJ84" s="122"/>
      <c r="AK84" s="122"/>
      <c r="AL84" s="122"/>
      <c r="AM84" s="122"/>
      <c r="AN84" s="121">
        <v>9.3000000000000007</v>
      </c>
      <c r="AO84" s="139" t="s">
        <v>637</v>
      </c>
      <c r="AP84" s="121">
        <v>15.1</v>
      </c>
      <c r="AQ84" s="139" t="s">
        <v>1071</v>
      </c>
      <c r="AR84" s="122"/>
      <c r="AS84" s="122"/>
      <c r="AT84" s="122">
        <v>-3.8</v>
      </c>
      <c r="AU84" s="125">
        <v>0.2</v>
      </c>
      <c r="AV84" s="125">
        <v>2.5</v>
      </c>
      <c r="AW84" s="139" t="s">
        <v>1068</v>
      </c>
      <c r="AX84" s="122"/>
      <c r="AY84" s="122">
        <v>1.1000000000000001</v>
      </c>
      <c r="AZ84" s="139" t="s">
        <v>1069</v>
      </c>
      <c r="BA84" s="460">
        <v>-1.9</v>
      </c>
      <c r="BB84" s="139" t="s">
        <v>1068</v>
      </c>
      <c r="BC84" s="122"/>
      <c r="BD84" s="122">
        <f ca="1">INDIRECT(ADDRESS(MATCH($B84,'【別紙1】標高（入力）'!$B:$B,0),'【別紙1】標高（入力）'!AD$2,4,TRUE,"【別紙1】標高（入力）"))</f>
        <v>0.59999999999860165</v>
      </c>
      <c r="BE84" s="139" t="s">
        <v>1333</v>
      </c>
      <c r="BF84" s="121">
        <f ca="1">INDIRECT(ADDRESS(MATCH($B84,'【別紙1】標高（入力）'!$B:$B,0),'【別紙1】標高（入力）'!AF$2,4,TRUE,"【別紙1】標高（入力）"))</f>
        <v>1.200000000000756</v>
      </c>
      <c r="BG84" s="122" t="str">
        <f ca="1">INDIRECT(ADDRESS(MATCH($B84,'【別紙1】標高（入力）'!$B:$B,0),'【別紙1】標高（入力）'!AG$2,4,TRUE,"【別紙1】標高（入力）"))</f>
        <v/>
      </c>
      <c r="BH84" s="122" t="str">
        <f ca="1">INDIRECT(ADDRESS(MATCH($B84,'【別紙1】標高（入力）'!$B:$B,0),'【別紙1】標高（入力）'!AH$2,4,TRUE,"【別紙1】標高（入力）"))</f>
        <v/>
      </c>
      <c r="BI84" s="122"/>
      <c r="BJ84" s="624" t="str">
        <f ca="1">INDIRECT(ADDRESS(MATCH($B84,'【別紙1】標高（入力）'!$B:$B,0),'【別紙1】標高（入力）'!AJ$2,4,TRUE,"【別紙1】標高（入力）"))</f>
        <v/>
      </c>
      <c r="BK84" s="598" t="str">
        <f t="shared" ca="1" si="24"/>
        <v>-</v>
      </c>
      <c r="BL84" s="604">
        <f t="shared" ca="1" si="25"/>
        <v>58.399999999999373</v>
      </c>
      <c r="BM84" s="600" t="str">
        <f ca="1">INDIRECT(ADDRESS(MATCH($B84,'【別紙1】標高（入力）'!$B:$B,0),'【別紙1】標高（入力）'!$N$2,4,TRUE,"【別紙1】標高（入力）"))</f>
        <v>R2</v>
      </c>
      <c r="BN84" s="340">
        <f ca="1">INDIRECT(ADDRESS(MATCH($B84,'【別紙1】標高（入力）'!$B:$B,0),'【別紙1】標高（入力）'!$O$2,4,TRUE,"【別紙1】標高（入力）"))</f>
        <v>18.832699999999999</v>
      </c>
      <c r="BO84" s="392"/>
    </row>
    <row r="85" spans="1:67" ht="15.95" customHeight="1">
      <c r="A85" s="119">
        <v>408</v>
      </c>
      <c r="B85" s="107" t="s">
        <v>469</v>
      </c>
      <c r="C85" s="114" t="s">
        <v>132</v>
      </c>
      <c r="D85" s="110" t="s">
        <v>645</v>
      </c>
      <c r="E85" s="109" t="s">
        <v>147</v>
      </c>
      <c r="F85" s="111" t="s">
        <v>9</v>
      </c>
      <c r="G85" s="112" t="s">
        <v>10</v>
      </c>
      <c r="H85" s="112" t="s">
        <v>541</v>
      </c>
      <c r="I85" s="112" t="s">
        <v>141</v>
      </c>
      <c r="J85" s="112" t="s">
        <v>547</v>
      </c>
      <c r="K85" s="224"/>
      <c r="L85" s="228"/>
      <c r="M85" s="221"/>
      <c r="N85" s="136" t="s">
        <v>636</v>
      </c>
      <c r="O85" s="127">
        <v>-8.6999999999999993</v>
      </c>
      <c r="P85" s="124">
        <v>14.3</v>
      </c>
      <c r="Q85" s="124">
        <v>4.4000000000000004</v>
      </c>
      <c r="R85" s="124">
        <v>7.1</v>
      </c>
      <c r="S85" s="136" t="s">
        <v>636</v>
      </c>
      <c r="T85" s="127">
        <v>-2.2999999999999998</v>
      </c>
      <c r="U85" s="136" t="s">
        <v>636</v>
      </c>
      <c r="V85" s="127">
        <v>-2.5</v>
      </c>
      <c r="W85" s="136" t="s">
        <v>679</v>
      </c>
      <c r="X85" s="122"/>
      <c r="Y85" s="122"/>
      <c r="Z85" s="122"/>
      <c r="AA85" s="122"/>
      <c r="AB85" s="127">
        <v>21</v>
      </c>
      <c r="AC85" s="136" t="s">
        <v>1273</v>
      </c>
      <c r="AD85" s="122"/>
      <c r="AE85" s="127">
        <v>0.6</v>
      </c>
      <c r="AF85" s="136" t="s">
        <v>1273</v>
      </c>
      <c r="AG85" s="122"/>
      <c r="AH85" s="122">
        <v>2</v>
      </c>
      <c r="AI85" s="139" t="s">
        <v>707</v>
      </c>
      <c r="AJ85" s="122"/>
      <c r="AK85" s="122"/>
      <c r="AL85" s="122"/>
      <c r="AM85" s="122"/>
      <c r="AN85" s="122"/>
      <c r="AO85" s="122"/>
      <c r="AP85" s="121">
        <v>24.2</v>
      </c>
      <c r="AQ85" s="135" t="s">
        <v>1070</v>
      </c>
      <c r="AR85" s="122"/>
      <c r="AS85" s="122"/>
      <c r="AT85" s="122"/>
      <c r="AU85" s="122">
        <v>-3</v>
      </c>
      <c r="AV85" s="125">
        <v>1.2</v>
      </c>
      <c r="AW85" s="139" t="s">
        <v>1068</v>
      </c>
      <c r="AX85" s="122"/>
      <c r="AY85" s="122">
        <v>2.2000000000000002</v>
      </c>
      <c r="AZ85" s="139" t="s">
        <v>1069</v>
      </c>
      <c r="BA85" s="460">
        <v>-2.2999999999999998</v>
      </c>
      <c r="BB85" s="139" t="s">
        <v>1068</v>
      </c>
      <c r="BC85" s="122"/>
      <c r="BD85" s="122">
        <f ca="1">INDIRECT(ADDRESS(MATCH($B85,'【別紙1】標高（入力）'!$B:$B,0),'【別紙1】標高（入力）'!AD$2,4,TRUE,"【別紙1】標高（入力）"))</f>
        <v>0.49999999999883471</v>
      </c>
      <c r="BE85" s="138"/>
      <c r="BF85" s="140" t="s">
        <v>1339</v>
      </c>
      <c r="BG85" s="122" t="str">
        <f ca="1">INDIRECT(ADDRESS(MATCH($B85,'【別紙1】標高（入力）'!$B:$B,0),'【別紙1】標高（入力）'!AG$2,4,TRUE,"【別紙1】標高（入力）"))</f>
        <v/>
      </c>
      <c r="BH85" s="122" t="str">
        <f ca="1">INDIRECT(ADDRESS(MATCH($B85,'【別紙1】標高（入力）'!$B:$B,0),'【別紙1】標高（入力）'!AH$2,4,TRUE,"【別紙1】標高（入力）"))</f>
        <v/>
      </c>
      <c r="BI85" s="122"/>
      <c r="BJ85" s="624" t="str">
        <f ca="1">INDIRECT(ADDRESS(MATCH($B85,'【別紙1】標高（入力）'!$B:$B,0),'【別紙1】標高（入力）'!AJ$2,4,TRUE,"【別紙1】標高（入力）"))</f>
        <v/>
      </c>
      <c r="BK85" s="598" t="str">
        <f t="shared" ca="1" si="24"/>
        <v>-</v>
      </c>
      <c r="BL85" s="604">
        <f t="shared" ca="1" si="25"/>
        <v>58.699999999998838</v>
      </c>
      <c r="BM85" s="600" t="str">
        <f ca="1">INDIRECT(ADDRESS(MATCH($B85,'【別紙1】標高（入力）'!$B:$B,0),'【別紙1】標高（入力）'!$N$2,4,TRUE,"【別紙1】標高（入力）"))</f>
        <v>R2</v>
      </c>
      <c r="BN85" s="340">
        <f ca="1">INDIRECT(ADDRESS(MATCH($B85,'【別紙1】標高（入力）'!$B:$B,0),'【別紙1】標高（入力）'!$O$2,4,TRUE,"【別紙1】標高（入力）"))</f>
        <v>18.146799999999999</v>
      </c>
      <c r="BO85" s="392" t="s">
        <v>1350</v>
      </c>
    </row>
    <row r="86" spans="1:67" s="231" customFormat="1" ht="15.75" customHeight="1">
      <c r="A86" s="214">
        <v>410</v>
      </c>
      <c r="B86" s="215" t="s">
        <v>470</v>
      </c>
      <c r="C86" s="216" t="s">
        <v>132</v>
      </c>
      <c r="D86" s="217" t="s">
        <v>335</v>
      </c>
      <c r="E86" s="218" t="s">
        <v>299</v>
      </c>
      <c r="F86" s="219" t="s">
        <v>9</v>
      </c>
      <c r="G86" s="220" t="s">
        <v>31</v>
      </c>
      <c r="H86" s="220" t="s">
        <v>64</v>
      </c>
      <c r="I86" s="220" t="s">
        <v>54</v>
      </c>
      <c r="J86" s="220" t="s">
        <v>270</v>
      </c>
      <c r="K86" s="224"/>
      <c r="L86" s="228"/>
      <c r="M86" s="228"/>
      <c r="N86" s="228"/>
      <c r="O86" s="228"/>
      <c r="P86" s="221"/>
      <c r="Q86" s="124">
        <v>13.3</v>
      </c>
      <c r="R86" s="124">
        <v>7.6</v>
      </c>
      <c r="S86" s="123">
        <v>-5.5</v>
      </c>
      <c r="T86" s="415" t="s">
        <v>1270</v>
      </c>
      <c r="U86" s="413" t="s">
        <v>1270</v>
      </c>
      <c r="V86" s="411" t="s">
        <v>1270</v>
      </c>
      <c r="W86" s="232" t="s">
        <v>20</v>
      </c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32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462"/>
      <c r="BB86" s="228"/>
      <c r="BC86" s="228"/>
      <c r="BD86" s="228"/>
      <c r="BE86" s="228"/>
      <c r="BF86" s="228"/>
      <c r="BG86" s="228"/>
      <c r="BH86" s="228"/>
      <c r="BI86" s="228"/>
      <c r="BJ86" s="570" t="str">
        <f ca="1">INDIRECT(ADDRESS(MATCH($B86,'【別紙1】標高（入力）'!$B:$B,0),'【別紙1】標高（入力）'!AJ$2,4,TRUE,"【別紙1】標高（入力）"))</f>
        <v/>
      </c>
      <c r="BK86" s="599" t="str">
        <f t="shared" si="22"/>
        <v>-</v>
      </c>
      <c r="BL86" s="605">
        <f t="shared" si="23"/>
        <v>15.399999999999999</v>
      </c>
      <c r="BM86" s="603" t="s">
        <v>529</v>
      </c>
      <c r="BN86" s="344" t="s">
        <v>529</v>
      </c>
      <c r="BO86" s="393" t="s">
        <v>725</v>
      </c>
    </row>
    <row r="87" spans="1:67" ht="15.95" customHeight="1">
      <c r="A87" s="119">
        <v>411</v>
      </c>
      <c r="B87" s="107" t="s">
        <v>472</v>
      </c>
      <c r="C87" s="114" t="s">
        <v>132</v>
      </c>
      <c r="D87" s="110" t="s">
        <v>335</v>
      </c>
      <c r="E87" s="597" t="s">
        <v>1424</v>
      </c>
      <c r="F87" s="111" t="s">
        <v>9</v>
      </c>
      <c r="G87" s="112" t="s">
        <v>10</v>
      </c>
      <c r="H87" s="112" t="s">
        <v>64</v>
      </c>
      <c r="I87" s="112" t="s">
        <v>54</v>
      </c>
      <c r="J87" s="112" t="s">
        <v>270</v>
      </c>
      <c r="K87" s="224"/>
      <c r="L87" s="228"/>
      <c r="M87" s="221"/>
      <c r="N87" s="136" t="s">
        <v>636</v>
      </c>
      <c r="O87" s="127">
        <v>218.7</v>
      </c>
      <c r="P87" s="124">
        <v>101</v>
      </c>
      <c r="Q87" s="124">
        <v>38.4</v>
      </c>
      <c r="R87" s="124">
        <v>11.1</v>
      </c>
      <c r="S87" s="124">
        <v>10.8</v>
      </c>
      <c r="T87" s="124">
        <v>47.7</v>
      </c>
      <c r="U87" s="123">
        <v>22.1</v>
      </c>
      <c r="V87" s="411" t="s">
        <v>47</v>
      </c>
      <c r="W87" s="139" t="s">
        <v>95</v>
      </c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1">
        <v>223</v>
      </c>
      <c r="AI87" s="139" t="s">
        <v>685</v>
      </c>
      <c r="AJ87" s="122"/>
      <c r="AK87" s="122"/>
      <c r="AL87" s="122"/>
      <c r="AM87" s="122"/>
      <c r="AN87" s="121">
        <v>41.9</v>
      </c>
      <c r="AO87" s="139" t="s">
        <v>1072</v>
      </c>
      <c r="AP87" s="122"/>
      <c r="AQ87" s="122"/>
      <c r="AR87" s="122"/>
      <c r="AS87" s="122"/>
      <c r="AT87" s="122">
        <v>118.9</v>
      </c>
      <c r="AU87" s="126">
        <v>-2</v>
      </c>
      <c r="AV87" s="139" t="s">
        <v>1071</v>
      </c>
      <c r="AW87" s="122"/>
      <c r="AX87" s="122"/>
      <c r="AY87" s="122">
        <v>22.6</v>
      </c>
      <c r="AZ87" s="139" t="s">
        <v>1070</v>
      </c>
      <c r="BA87" s="460"/>
      <c r="BB87" s="122"/>
      <c r="BC87" s="122"/>
      <c r="BD87" s="122">
        <f ca="1">INDIRECT(ADDRESS(MATCH($B87,'【別紙1】標高（入力）'!$B:$B,0),'【別紙1】標高（入力）'!AD$2,4,TRUE,"【別紙1】標高（入力）"))</f>
        <v>17.900000000000027</v>
      </c>
      <c r="BE87" s="139" t="s">
        <v>1383</v>
      </c>
      <c r="BF87" s="122" t="str">
        <f ca="1">INDIRECT(ADDRESS(MATCH($B87,'【別紙1】標高（入力）'!$B:$B,0),'【別紙1】標高（入力）'!AF$2,4,TRUE,"【別紙1】標高（入力）"))</f>
        <v/>
      </c>
      <c r="BG87" s="122" t="str">
        <f ca="1">INDIRECT(ADDRESS(MATCH($B87,'【別紙1】標高（入力）'!$B:$B,0),'【別紙1】標高（入力）'!AG$2,4,TRUE,"【別紙1】標高（入力）"))</f>
        <v/>
      </c>
      <c r="BH87" s="121">
        <f ca="1">INDIRECT(ADDRESS(MATCH($B87,'【別紙1】標高（入力）'!$B:$B,0),'【別紙1】標高（入力）'!AH$2,4,TRUE,"【別紙1】標高（入力）"))</f>
        <v>32.300000000000217</v>
      </c>
      <c r="BI87" s="122"/>
      <c r="BJ87" s="624" t="str">
        <f ca="1">INDIRECT(ADDRESS(MATCH($B87,'【別紙1】標高（入力）'!$B:$B,0),'【別紙1】標高（入力）'!AJ$2,4,TRUE,"【別紙1】標高（入力）"))</f>
        <v/>
      </c>
      <c r="BK87" s="598" t="str">
        <f t="shared" ref="BK87:BK92" ca="1" si="26">IF(AND(ISNUMBER(BI87)*1,ISNUMBER(BH87)*1),BI87,"-")</f>
        <v>-</v>
      </c>
      <c r="BL87" s="604">
        <f t="shared" ref="BL87:BL92" ca="1" si="27">SUM(K87:BI87)</f>
        <v>904.40000000000009</v>
      </c>
      <c r="BM87" s="600" t="str">
        <f ca="1">INDIRECT(ADDRESS(MATCH($B87,'【別紙1】標高（入力）'!$B:$B,0),'【別紙1】標高（入力）'!$N$2,4,TRUE,"【別紙1】標高（入力）"))</f>
        <v>R4</v>
      </c>
      <c r="BN87" s="340">
        <f ca="1">INDIRECT(ADDRESS(MATCH($B87,'【別紙1】標高（入力）'!$B:$B,0),'【別紙1】標高（入力）'!$O$2,4,TRUE,"【別紙1】標高（入力）"))</f>
        <v>3.2930999999999999</v>
      </c>
      <c r="BO87" s="392"/>
    </row>
    <row r="88" spans="1:67" ht="15.95" customHeight="1">
      <c r="A88" s="119">
        <v>412</v>
      </c>
      <c r="B88" s="107" t="s">
        <v>474</v>
      </c>
      <c r="C88" s="114" t="s">
        <v>132</v>
      </c>
      <c r="D88" s="110" t="s">
        <v>670</v>
      </c>
      <c r="E88" s="109" t="s">
        <v>1425</v>
      </c>
      <c r="F88" s="111" t="s">
        <v>9</v>
      </c>
      <c r="G88" s="112" t="s">
        <v>255</v>
      </c>
      <c r="H88" s="112" t="s">
        <v>542</v>
      </c>
      <c r="I88" s="112" t="s">
        <v>54</v>
      </c>
      <c r="J88" s="112" t="s">
        <v>270</v>
      </c>
      <c r="K88" s="224"/>
      <c r="L88" s="228"/>
      <c r="M88" s="221"/>
      <c r="N88" s="136" t="s">
        <v>636</v>
      </c>
      <c r="O88" s="127">
        <v>53.9</v>
      </c>
      <c r="P88" s="124">
        <v>41.4</v>
      </c>
      <c r="Q88" s="124">
        <v>22.4</v>
      </c>
      <c r="R88" s="124">
        <v>10.199999999999999</v>
      </c>
      <c r="S88" s="123">
        <v>7.1</v>
      </c>
      <c r="T88" s="415" t="s">
        <v>1270</v>
      </c>
      <c r="U88" s="413" t="s">
        <v>1270</v>
      </c>
      <c r="V88" s="127">
        <v>54.5</v>
      </c>
      <c r="W88" s="136" t="s">
        <v>679</v>
      </c>
      <c r="X88" s="122"/>
      <c r="Y88" s="122"/>
      <c r="Z88" s="122"/>
      <c r="AA88" s="122"/>
      <c r="AB88" s="127">
        <v>135.1</v>
      </c>
      <c r="AC88" s="136" t="s">
        <v>1273</v>
      </c>
      <c r="AD88" s="122"/>
      <c r="AE88" s="127">
        <v>50.2</v>
      </c>
      <c r="AF88" s="224"/>
      <c r="AG88" s="228"/>
      <c r="AH88" s="229"/>
      <c r="AI88" s="138" t="s">
        <v>260</v>
      </c>
      <c r="AJ88" s="229"/>
      <c r="AK88" s="138" t="s">
        <v>530</v>
      </c>
      <c r="AL88" s="135" t="s">
        <v>525</v>
      </c>
      <c r="AM88" s="122"/>
      <c r="AN88" s="121">
        <v>75.400000000000006</v>
      </c>
      <c r="AO88" s="139" t="s">
        <v>1072</v>
      </c>
      <c r="AP88" s="122"/>
      <c r="AQ88" s="122"/>
      <c r="AR88" s="122"/>
      <c r="AS88" s="122"/>
      <c r="AT88" s="122">
        <v>116.5</v>
      </c>
      <c r="AU88" s="139" t="s">
        <v>1070</v>
      </c>
      <c r="AV88" s="122"/>
      <c r="AW88" s="122"/>
      <c r="AX88" s="122"/>
      <c r="AY88" s="122">
        <v>26.5</v>
      </c>
      <c r="AZ88" s="139" t="s">
        <v>1070</v>
      </c>
      <c r="BA88" s="460"/>
      <c r="BB88" s="122"/>
      <c r="BC88" s="122"/>
      <c r="BD88" s="122">
        <f ca="1">INDIRECT(ADDRESS(MATCH($B88,'【別紙1】標高（入力）'!$B:$B,0),'【別紙1】標高（入力）'!AD$2,4,TRUE,"【別紙1】標高（入力）"))</f>
        <v>21.600000000000286</v>
      </c>
      <c r="BE88" s="125" t="str">
        <f ca="1">INDIRECT(ADDRESS(MATCH($B88,'【別紙1】標高（入力）'!$B:$B,0),'【別紙1】標高（入力）'!AE$2,4,TRUE,"【別紙1】標高（入力）"))</f>
        <v/>
      </c>
      <c r="BF88" s="122" t="str">
        <f ca="1">INDIRECT(ADDRESS(MATCH($B88,'【別紙1】標高（入力）'!$B:$B,0),'【別紙1】標高（入力）'!AF$2,4,TRUE,"【別紙1】標高（入力）"))</f>
        <v/>
      </c>
      <c r="BG88" s="122" t="str">
        <f ca="1">INDIRECT(ADDRESS(MATCH($B88,'【別紙1】標高（入力）'!$B:$B,0),'【別紙1】標高（入力）'!AG$2,4,TRUE,"【別紙1】標高（入力）"))</f>
        <v/>
      </c>
      <c r="BH88" s="122" t="str">
        <f ca="1">INDIRECT(ADDRESS(MATCH($B88,'【別紙1】標高（入力）'!$B:$B,0),'【別紙1】標高（入力）'!AH$2,4,TRUE,"【別紙1】標高（入力）"))</f>
        <v/>
      </c>
      <c r="BI88" s="122"/>
      <c r="BJ88" s="624" t="str">
        <f ca="1">INDIRECT(ADDRESS(MATCH($B88,'【別紙1】標高（入力）'!$B:$B,0),'【別紙1】標高（入力）'!AJ$2,4,TRUE,"【別紙1】標高（入力）"))</f>
        <v/>
      </c>
      <c r="BK88" s="598" t="str">
        <f t="shared" ca="1" si="26"/>
        <v>-</v>
      </c>
      <c r="BL88" s="604">
        <f t="shared" ca="1" si="27"/>
        <v>614.8000000000003</v>
      </c>
      <c r="BM88" s="600" t="str">
        <f ca="1">INDIRECT(ADDRESS(MATCH($B88,'【別紙1】標高（入力）'!$B:$B,0),'【別紙1】標高（入力）'!$N$2,4,TRUE,"【別紙1】標高（入力）"))</f>
        <v>H30</v>
      </c>
      <c r="BN88" s="340">
        <f ca="1">INDIRECT(ADDRESS(MATCH($B88,'【別紙1】標高（入力）'!$B:$B,0),'【別紙1】標高（入力）'!$O$2,4,TRUE,"【別紙1】標高（入力）"))</f>
        <v>5.2348999999999997</v>
      </c>
      <c r="BO88" s="392" t="s">
        <v>1132</v>
      </c>
    </row>
    <row r="89" spans="1:67" ht="15.95" customHeight="1">
      <c r="A89" s="119">
        <v>413</v>
      </c>
      <c r="B89" s="107" t="s">
        <v>476</v>
      </c>
      <c r="C89" s="114" t="s">
        <v>132</v>
      </c>
      <c r="D89" s="110" t="s">
        <v>337</v>
      </c>
      <c r="E89" s="109" t="s">
        <v>299</v>
      </c>
      <c r="F89" s="111" t="s">
        <v>9</v>
      </c>
      <c r="G89" s="112" t="s">
        <v>31</v>
      </c>
      <c r="H89" s="112" t="s">
        <v>64</v>
      </c>
      <c r="I89" s="112" t="s">
        <v>54</v>
      </c>
      <c r="J89" s="112" t="s">
        <v>270</v>
      </c>
      <c r="K89" s="224"/>
      <c r="L89" s="228"/>
      <c r="M89" s="228"/>
      <c r="N89" s="228"/>
      <c r="O89" s="228"/>
      <c r="P89" s="221"/>
      <c r="Q89" s="124">
        <v>85.6</v>
      </c>
      <c r="R89" s="123">
        <v>20.8</v>
      </c>
      <c r="S89" s="411" t="s">
        <v>47</v>
      </c>
      <c r="T89" s="127">
        <v>36.9</v>
      </c>
      <c r="U89" s="124">
        <v>19.899999999999999</v>
      </c>
      <c r="V89" s="124">
        <v>21.6</v>
      </c>
      <c r="W89" s="136" t="s">
        <v>95</v>
      </c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1">
        <v>369.5</v>
      </c>
      <c r="AI89" s="139" t="s">
        <v>525</v>
      </c>
      <c r="AJ89" s="122"/>
      <c r="AK89" s="127">
        <v>58.2</v>
      </c>
      <c r="AL89" s="136" t="s">
        <v>525</v>
      </c>
      <c r="AM89" s="122"/>
      <c r="AN89" s="121">
        <v>43.1</v>
      </c>
      <c r="AO89" s="139" t="s">
        <v>1072</v>
      </c>
      <c r="AP89" s="122"/>
      <c r="AQ89" s="122"/>
      <c r="AR89" s="122"/>
      <c r="AS89" s="122"/>
      <c r="AT89" s="122">
        <v>81.900000000000006</v>
      </c>
      <c r="AU89" s="139" t="s">
        <v>1070</v>
      </c>
      <c r="AV89" s="122"/>
      <c r="AW89" s="122"/>
      <c r="AX89" s="122"/>
      <c r="AY89" s="122">
        <v>31.5</v>
      </c>
      <c r="AZ89" s="139" t="s">
        <v>1070</v>
      </c>
      <c r="BA89" s="460"/>
      <c r="BB89" s="122"/>
      <c r="BC89" s="122"/>
      <c r="BD89" s="122">
        <f ca="1">INDIRECT(ADDRESS(MATCH($B89,'【別紙1】標高（入力）'!$B:$B,0),'【別紙1】標高（入力）'!AD$2,4,TRUE,"【別紙1】標高（入力）"))</f>
        <v>29.099999999999682</v>
      </c>
      <c r="BE89" s="125" t="str">
        <f ca="1">INDIRECT(ADDRESS(MATCH($B89,'【別紙1】標高（入力）'!$B:$B,0),'【別紙1】標高（入力）'!AE$2,4,TRUE,"【別紙1】標高（入力）"))</f>
        <v/>
      </c>
      <c r="BF89" s="122" t="str">
        <f ca="1">INDIRECT(ADDRESS(MATCH($B89,'【別紙1】標高（入力）'!$B:$B,0),'【別紙1】標高（入力）'!AF$2,4,TRUE,"【別紙1】標高（入力）"))</f>
        <v/>
      </c>
      <c r="BG89" s="122" t="str">
        <f ca="1">INDIRECT(ADDRESS(MATCH($B89,'【別紙1】標高（入力）'!$B:$B,0),'【別紙1】標高（入力）'!AG$2,4,TRUE,"【別紙1】標高（入力）"))</f>
        <v/>
      </c>
      <c r="BH89" s="122" t="str">
        <f ca="1">INDIRECT(ADDRESS(MATCH($B89,'【別紙1】標高（入力）'!$B:$B,0),'【別紙1】標高（入力）'!AH$2,4,TRUE,"【別紙1】標高（入力）"))</f>
        <v/>
      </c>
      <c r="BI89" s="122"/>
      <c r="BJ89" s="624" t="str">
        <f ca="1">INDIRECT(ADDRESS(MATCH($B89,'【別紙1】標高（入力）'!$B:$B,0),'【別紙1】標高（入力）'!AJ$2,4,TRUE,"【別紙1】標高（入力）"))</f>
        <v/>
      </c>
      <c r="BK89" s="598" t="str">
        <f t="shared" ca="1" si="26"/>
        <v>-</v>
      </c>
      <c r="BL89" s="604">
        <f t="shared" ca="1" si="27"/>
        <v>798.09999999999968</v>
      </c>
      <c r="BM89" s="600" t="str">
        <f ca="1">INDIRECT(ADDRESS(MATCH($B89,'【別紙1】標高（入力）'!$B:$B,0),'【別紙1】標高（入力）'!$N$2,4,TRUE,"【別紙1】標高（入力）"))</f>
        <v>H30</v>
      </c>
      <c r="BN89" s="340">
        <f ca="1">INDIRECT(ADDRESS(MATCH($B89,'【別紙1】標高（入力）'!$B:$B,0),'【別紙1】標高（入力）'!$O$2,4,TRUE,"【別紙1】標高（入力）"))</f>
        <v>4.5007000000000001</v>
      </c>
      <c r="BO89" s="392"/>
    </row>
    <row r="90" spans="1:67" ht="15.95" customHeight="1">
      <c r="A90" s="119">
        <v>414</v>
      </c>
      <c r="B90" s="107" t="s">
        <v>478</v>
      </c>
      <c r="C90" s="114" t="s">
        <v>132</v>
      </c>
      <c r="D90" s="110" t="s">
        <v>338</v>
      </c>
      <c r="E90" s="109" t="s">
        <v>150</v>
      </c>
      <c r="F90" s="111" t="s">
        <v>9</v>
      </c>
      <c r="G90" s="112" t="s">
        <v>31</v>
      </c>
      <c r="H90" s="112" t="s">
        <v>64</v>
      </c>
      <c r="I90" s="112" t="s">
        <v>54</v>
      </c>
      <c r="J90" s="112" t="s">
        <v>270</v>
      </c>
      <c r="K90" s="224"/>
      <c r="L90" s="228"/>
      <c r="M90" s="228"/>
      <c r="N90" s="228"/>
      <c r="O90" s="228"/>
      <c r="P90" s="221"/>
      <c r="Q90" s="124">
        <v>33.799999999999997</v>
      </c>
      <c r="R90" s="124">
        <v>32.1</v>
      </c>
      <c r="S90" s="124">
        <v>23.9</v>
      </c>
      <c r="T90" s="124">
        <v>40.4</v>
      </c>
      <c r="U90" s="124">
        <v>16.399999999999999</v>
      </c>
      <c r="V90" s="124">
        <v>21.4</v>
      </c>
      <c r="W90" s="136" t="s">
        <v>679</v>
      </c>
      <c r="X90" s="122"/>
      <c r="Y90" s="122"/>
      <c r="Z90" s="122"/>
      <c r="AA90" s="122"/>
      <c r="AB90" s="127">
        <v>128.4</v>
      </c>
      <c r="AC90" s="233"/>
      <c r="AD90" s="228"/>
      <c r="AE90" s="411" t="s">
        <v>47</v>
      </c>
      <c r="AF90" s="232"/>
      <c r="AG90" s="228"/>
      <c r="AH90" s="411" t="s">
        <v>47</v>
      </c>
      <c r="AI90" s="135" t="s">
        <v>525</v>
      </c>
      <c r="AJ90" s="122"/>
      <c r="AK90" s="121">
        <v>43</v>
      </c>
      <c r="AL90" s="136" t="s">
        <v>525</v>
      </c>
      <c r="AM90" s="122"/>
      <c r="AN90" s="121">
        <v>26.3</v>
      </c>
      <c r="AO90" s="139" t="s">
        <v>1072</v>
      </c>
      <c r="AP90" s="122"/>
      <c r="AQ90" s="122"/>
      <c r="AR90" s="122"/>
      <c r="AS90" s="122"/>
      <c r="AT90" s="122">
        <v>85.5</v>
      </c>
      <c r="AU90" s="139" t="s">
        <v>1070</v>
      </c>
      <c r="AV90" s="122"/>
      <c r="AW90" s="122"/>
      <c r="AX90" s="122"/>
      <c r="AY90" s="122">
        <v>26.3</v>
      </c>
      <c r="AZ90" s="139" t="s">
        <v>1073</v>
      </c>
      <c r="BA90" s="460">
        <v>8.3000000000000007</v>
      </c>
      <c r="BB90" s="139" t="s">
        <v>1068</v>
      </c>
      <c r="BC90" s="122"/>
      <c r="BD90" s="122">
        <f ca="1">INDIRECT(ADDRESS(MATCH($B90,'【別紙1】標高（入力）'!$B:$B,0),'【別紙1】標高（入力）'!AD$2,4,TRUE,"【別紙1】標高（入力）"))</f>
        <v>10.199999999999321</v>
      </c>
      <c r="BE90" s="139" t="s">
        <v>1333</v>
      </c>
      <c r="BF90" s="121">
        <f ca="1">INDIRECT(ADDRESS(MATCH($B90,'【別紙1】標高（入力）'!$B:$B,0),'【別紙1】標高（入力）'!AF$2,4,TRUE,"【別紙1】標高（入力）"))</f>
        <v>15.200000000000102</v>
      </c>
      <c r="BG90" s="122" t="str">
        <f ca="1">INDIRECT(ADDRESS(MATCH($B90,'【別紙1】標高（入力）'!$B:$B,0),'【別紙1】標高（入力）'!AG$2,4,TRUE,"【別紙1】標高（入力）"))</f>
        <v/>
      </c>
      <c r="BH90" s="122" t="str">
        <f ca="1">INDIRECT(ADDRESS(MATCH($B90,'【別紙1】標高（入力）'!$B:$B,0),'【別紙1】標高（入力）'!AH$2,4,TRUE,"【別紙1】標高（入力）"))</f>
        <v/>
      </c>
      <c r="BI90" s="122"/>
      <c r="BJ90" s="624" t="str">
        <f ca="1">INDIRECT(ADDRESS(MATCH($B90,'【別紙1】標高（入力）'!$B:$B,0),'【別紙1】標高（入力）'!AJ$2,4,TRUE,"【別紙1】標高（入力）"))</f>
        <v/>
      </c>
      <c r="BK90" s="598" t="str">
        <f t="shared" ca="1" si="26"/>
        <v>-</v>
      </c>
      <c r="BL90" s="604">
        <f t="shared" ca="1" si="27"/>
        <v>511.19999999999948</v>
      </c>
      <c r="BM90" s="600" t="str">
        <f ca="1">INDIRECT(ADDRESS(MATCH($B90,'【別紙1】標高（入力）'!$B:$B,0),'【別紙1】標高（入力）'!$N$2,4,TRUE,"【別紙1】標高（入力）"))</f>
        <v>R2</v>
      </c>
      <c r="BN90" s="340">
        <f ca="1">INDIRECT(ADDRESS(MATCH($B90,'【別紙1】標高（入力）'!$B:$B,0),'【別紙1】標高（入力）'!$O$2,4,TRUE,"【別紙1】標高（入力）"))</f>
        <v>6.7087000000000003</v>
      </c>
      <c r="BO90" s="392"/>
    </row>
    <row r="91" spans="1:67" ht="15.95" customHeight="1">
      <c r="A91" s="119">
        <v>415</v>
      </c>
      <c r="B91" s="107" t="s">
        <v>479</v>
      </c>
      <c r="C91" s="114" t="s">
        <v>132</v>
      </c>
      <c r="D91" s="110" t="s">
        <v>339</v>
      </c>
      <c r="E91" s="109" t="s">
        <v>299</v>
      </c>
      <c r="F91" s="111" t="s">
        <v>9</v>
      </c>
      <c r="G91" s="112" t="s">
        <v>10</v>
      </c>
      <c r="H91" s="112" t="s">
        <v>64</v>
      </c>
      <c r="I91" s="112" t="s">
        <v>54</v>
      </c>
      <c r="J91" s="112" t="s">
        <v>270</v>
      </c>
      <c r="K91" s="224"/>
      <c r="L91" s="228"/>
      <c r="M91" s="221"/>
      <c r="N91" s="136" t="s">
        <v>636</v>
      </c>
      <c r="O91" s="127">
        <v>39.200000000000003</v>
      </c>
      <c r="P91" s="124">
        <v>50.8</v>
      </c>
      <c r="Q91" s="124">
        <v>9.3000000000000007</v>
      </c>
      <c r="R91" s="124">
        <v>-2</v>
      </c>
      <c r="S91" s="124">
        <v>14.6</v>
      </c>
      <c r="T91" s="124">
        <v>26.4</v>
      </c>
      <c r="U91" s="124">
        <v>18.3</v>
      </c>
      <c r="V91" s="124">
        <v>51.4</v>
      </c>
      <c r="W91" s="136" t="s">
        <v>679</v>
      </c>
      <c r="X91" s="122"/>
      <c r="Y91" s="122"/>
      <c r="Z91" s="122"/>
      <c r="AA91" s="122"/>
      <c r="AB91" s="127">
        <v>54</v>
      </c>
      <c r="AC91" s="136" t="s">
        <v>1273</v>
      </c>
      <c r="AD91" s="122"/>
      <c r="AE91" s="127">
        <v>31.9</v>
      </c>
      <c r="AF91" s="136" t="s">
        <v>1273</v>
      </c>
      <c r="AG91" s="122"/>
      <c r="AH91" s="121">
        <v>27.8</v>
      </c>
      <c r="AI91" s="139" t="s">
        <v>685</v>
      </c>
      <c r="AJ91" s="122"/>
      <c r="AK91" s="122"/>
      <c r="AL91" s="122"/>
      <c r="AM91" s="122"/>
      <c r="AN91" s="121">
        <v>61.7</v>
      </c>
      <c r="AO91" s="139" t="s">
        <v>1072</v>
      </c>
      <c r="AP91" s="122"/>
      <c r="AQ91" s="122"/>
      <c r="AR91" s="122"/>
      <c r="AS91" s="122"/>
      <c r="AT91" s="122">
        <v>25</v>
      </c>
      <c r="AU91" s="139" t="s">
        <v>1070</v>
      </c>
      <c r="AV91" s="122"/>
      <c r="AW91" s="122"/>
      <c r="AX91" s="122"/>
      <c r="AY91" s="122">
        <v>6.9</v>
      </c>
      <c r="AZ91" s="139" t="s">
        <v>1070</v>
      </c>
      <c r="BA91" s="460"/>
      <c r="BB91" s="122"/>
      <c r="BC91" s="122"/>
      <c r="BD91" s="122">
        <f ca="1">INDIRECT(ADDRESS(MATCH($B91,'【別紙1】標高（入力）'!$B:$B,0),'【別紙1】標高（入力）'!AD$2,4,TRUE,"【別紙1】標高（入力）"))</f>
        <v>-3.3000000000003027</v>
      </c>
      <c r="BE91" s="125" t="str">
        <f ca="1">INDIRECT(ADDRESS(MATCH($B91,'【別紙1】標高（入力）'!$B:$B,0),'【別紙1】標高（入力）'!AE$2,4,TRUE,"【別紙1】標高（入力）"))</f>
        <v/>
      </c>
      <c r="BF91" s="122" t="str">
        <f ca="1">INDIRECT(ADDRESS(MATCH($B91,'【別紙1】標高（入力）'!$B:$B,0),'【別紙1】標高（入力）'!AF$2,4,TRUE,"【別紙1】標高（入力）"))</f>
        <v/>
      </c>
      <c r="BG91" s="122" t="str">
        <f ca="1">INDIRECT(ADDRESS(MATCH($B91,'【別紙1】標高（入力）'!$B:$B,0),'【別紙1】標高（入力）'!AG$2,4,TRUE,"【別紙1】標高（入力）"))</f>
        <v/>
      </c>
      <c r="BH91" s="122" t="str">
        <f ca="1">INDIRECT(ADDRESS(MATCH($B91,'【別紙1】標高（入力）'!$B:$B,0),'【別紙1】標高（入力）'!AH$2,4,TRUE,"【別紙1】標高（入力）"))</f>
        <v/>
      </c>
      <c r="BI91" s="122"/>
      <c r="BJ91" s="624" t="str">
        <f ca="1">INDIRECT(ADDRESS(MATCH($B91,'【別紙1】標高（入力）'!$B:$B,0),'【別紙1】標高（入力）'!AJ$2,4,TRUE,"【別紙1】標高（入力）"))</f>
        <v/>
      </c>
      <c r="BK91" s="598" t="str">
        <f t="shared" ca="1" si="26"/>
        <v>-</v>
      </c>
      <c r="BL91" s="604">
        <f t="shared" ca="1" si="27"/>
        <v>411.99999999999966</v>
      </c>
      <c r="BM91" s="600" t="str">
        <f ca="1">INDIRECT(ADDRESS(MATCH($B91,'【別紙1】標高（入力）'!$B:$B,0),'【別紙1】標高（入力）'!$N$2,4,TRUE,"【別紙1】標高（入力）"))</f>
        <v>H30</v>
      </c>
      <c r="BN91" s="340">
        <f ca="1">INDIRECT(ADDRESS(MATCH($B91,'【別紙1】標高（入力）'!$B:$B,0),'【別紙1】標高（入力）'!$O$2,4,TRUE,"【別紙1】標高（入力）"))</f>
        <v>5.5640000000000001</v>
      </c>
      <c r="BO91" s="392"/>
    </row>
    <row r="92" spans="1:67" ht="15.95" customHeight="1">
      <c r="A92" s="119">
        <v>416</v>
      </c>
      <c r="B92" s="107" t="s">
        <v>481</v>
      </c>
      <c r="C92" s="114" t="s">
        <v>132</v>
      </c>
      <c r="D92" s="110" t="s">
        <v>579</v>
      </c>
      <c r="E92" s="109" t="s">
        <v>153</v>
      </c>
      <c r="F92" s="111" t="s">
        <v>9</v>
      </c>
      <c r="G92" s="112" t="s">
        <v>10</v>
      </c>
      <c r="H92" s="112" t="s">
        <v>541</v>
      </c>
      <c r="I92" s="112" t="s">
        <v>54</v>
      </c>
      <c r="J92" s="112" t="s">
        <v>270</v>
      </c>
      <c r="K92" s="224"/>
      <c r="L92" s="228"/>
      <c r="M92" s="221"/>
      <c r="N92" s="136" t="s">
        <v>636</v>
      </c>
      <c r="O92" s="127">
        <v>79.599999999999994</v>
      </c>
      <c r="P92" s="124">
        <v>30.9</v>
      </c>
      <c r="Q92" s="124">
        <v>38.6</v>
      </c>
      <c r="R92" s="124">
        <v>43.8</v>
      </c>
      <c r="S92" s="124">
        <v>2.1</v>
      </c>
      <c r="T92" s="124">
        <v>37.200000000000003</v>
      </c>
      <c r="U92" s="124">
        <v>21</v>
      </c>
      <c r="V92" s="124">
        <v>63.5</v>
      </c>
      <c r="W92" s="136" t="s">
        <v>1273</v>
      </c>
      <c r="X92" s="122"/>
      <c r="Y92" s="127">
        <v>30.5</v>
      </c>
      <c r="Z92" s="136" t="s">
        <v>1273</v>
      </c>
      <c r="AA92" s="122"/>
      <c r="AB92" s="127">
        <v>43.9</v>
      </c>
      <c r="AC92" s="136" t="s">
        <v>1273</v>
      </c>
      <c r="AD92" s="122"/>
      <c r="AE92" s="127">
        <v>12.3</v>
      </c>
      <c r="AF92" s="136" t="s">
        <v>1273</v>
      </c>
      <c r="AG92" s="122"/>
      <c r="AH92" s="121">
        <v>9.1999999999999993</v>
      </c>
      <c r="AI92" s="139" t="s">
        <v>685</v>
      </c>
      <c r="AJ92" s="122"/>
      <c r="AK92" s="122"/>
      <c r="AL92" s="122"/>
      <c r="AM92" s="122"/>
      <c r="AN92" s="121">
        <v>15</v>
      </c>
      <c r="AO92" s="139" t="s">
        <v>1072</v>
      </c>
      <c r="AP92" s="122"/>
      <c r="AQ92" s="122"/>
      <c r="AR92" s="122"/>
      <c r="AS92" s="122"/>
      <c r="AT92" s="122">
        <v>21.5</v>
      </c>
      <c r="AU92" s="125">
        <v>-1.4</v>
      </c>
      <c r="AV92" s="139" t="s">
        <v>1071</v>
      </c>
      <c r="AW92" s="122"/>
      <c r="AX92" s="122"/>
      <c r="AY92" s="122">
        <v>6.5</v>
      </c>
      <c r="AZ92" s="139" t="s">
        <v>1070</v>
      </c>
      <c r="BA92" s="460"/>
      <c r="BB92" s="122"/>
      <c r="BC92" s="122"/>
      <c r="BD92" s="122">
        <f ca="1">INDIRECT(ADDRESS(MATCH($B92,'【別紙1】標高（入力）'!$B:$B,0),'【別紙1】標高（入力）'!AD$2,4,TRUE,"【別紙1】標高（入力）"))</f>
        <v>2.7000000000008129</v>
      </c>
      <c r="BE92" s="125" t="str">
        <f ca="1">INDIRECT(ADDRESS(MATCH($B92,'【別紙1】標高（入力）'!$B:$B,0),'【別紙1】標高（入力）'!AE$2,4,TRUE,"【別紙1】標高（入力）"))</f>
        <v/>
      </c>
      <c r="BF92" s="122" t="str">
        <f ca="1">INDIRECT(ADDRESS(MATCH($B92,'【別紙1】標高（入力）'!$B:$B,0),'【別紙1】標高（入力）'!AF$2,4,TRUE,"【別紙1】標高（入力）"))</f>
        <v/>
      </c>
      <c r="BG92" s="122" t="str">
        <f ca="1">INDIRECT(ADDRESS(MATCH($B92,'【別紙1】標高（入力）'!$B:$B,0),'【別紙1】標高（入力）'!AG$2,4,TRUE,"【別紙1】標高（入力）"))</f>
        <v/>
      </c>
      <c r="BH92" s="122" t="str">
        <f ca="1">INDIRECT(ADDRESS(MATCH($B92,'【別紙1】標高（入力）'!$B:$B,0),'【別紙1】標高（入力）'!AH$2,4,TRUE,"【別紙1】標高（入力）"))</f>
        <v/>
      </c>
      <c r="BI92" s="122"/>
      <c r="BJ92" s="624" t="str">
        <f ca="1">INDIRECT(ADDRESS(MATCH($B92,'【別紙1】標高（入力）'!$B:$B,0),'【別紙1】標高（入力）'!AJ$2,4,TRUE,"【別紙1】標高（入力）"))</f>
        <v/>
      </c>
      <c r="BK92" s="598" t="str">
        <f t="shared" ca="1" si="26"/>
        <v>-</v>
      </c>
      <c r="BL92" s="604">
        <f t="shared" ca="1" si="27"/>
        <v>456.90000000000077</v>
      </c>
      <c r="BM92" s="600" t="str">
        <f ca="1">INDIRECT(ADDRESS(MATCH($B92,'【別紙1】標高（入力）'!$B:$B,0),'【別紙1】標高（入力）'!$N$2,4,TRUE,"【別紙1】標高（入力）"))</f>
        <v>H30</v>
      </c>
      <c r="BN92" s="340">
        <f ca="1">INDIRECT(ADDRESS(MATCH($B92,'【別紙1】標高（入力）'!$B:$B,0),'【別紙1】標高（入力）'!$O$2,4,TRUE,"【別紙1】標高（入力）"))</f>
        <v>9.375</v>
      </c>
      <c r="BO92" s="392"/>
    </row>
    <row r="93" spans="1:67" s="231" customFormat="1" ht="15.95" customHeight="1">
      <c r="A93" s="214">
        <v>417</v>
      </c>
      <c r="B93" s="215" t="s">
        <v>482</v>
      </c>
      <c r="C93" s="216" t="s">
        <v>132</v>
      </c>
      <c r="D93" s="217" t="s">
        <v>686</v>
      </c>
      <c r="E93" s="218" t="s">
        <v>155</v>
      </c>
      <c r="F93" s="219" t="s">
        <v>9</v>
      </c>
      <c r="G93" s="220" t="s">
        <v>10</v>
      </c>
      <c r="H93" s="220" t="s">
        <v>541</v>
      </c>
      <c r="I93" s="220" t="s">
        <v>54</v>
      </c>
      <c r="J93" s="220" t="s">
        <v>270</v>
      </c>
      <c r="K93" s="224"/>
      <c r="L93" s="228"/>
      <c r="M93" s="221"/>
      <c r="N93" s="136" t="s">
        <v>636</v>
      </c>
      <c r="O93" s="127">
        <v>34.200000000000003</v>
      </c>
      <c r="P93" s="124">
        <v>36.4</v>
      </c>
      <c r="Q93" s="124">
        <v>8.4</v>
      </c>
      <c r="R93" s="124">
        <v>28.8</v>
      </c>
      <c r="S93" s="124">
        <v>32.299999999999997</v>
      </c>
      <c r="T93" s="123">
        <v>25</v>
      </c>
      <c r="U93" s="411" t="s">
        <v>47</v>
      </c>
      <c r="V93" s="127">
        <v>8.5</v>
      </c>
      <c r="W93" s="136" t="s">
        <v>679</v>
      </c>
      <c r="X93" s="122"/>
      <c r="Y93" s="122"/>
      <c r="Z93" s="122"/>
      <c r="AA93" s="122"/>
      <c r="AB93" s="127">
        <v>48.7</v>
      </c>
      <c r="AC93" s="136" t="s">
        <v>1273</v>
      </c>
      <c r="AD93" s="122"/>
      <c r="AE93" s="127">
        <v>21.5</v>
      </c>
      <c r="AF93" s="136" t="s">
        <v>1273</v>
      </c>
      <c r="AG93" s="122"/>
      <c r="AH93" s="121">
        <v>16.899999999999999</v>
      </c>
      <c r="AI93" s="139" t="s">
        <v>685</v>
      </c>
      <c r="AJ93" s="122"/>
      <c r="AK93" s="122"/>
      <c r="AL93" s="122"/>
      <c r="AM93" s="122"/>
      <c r="AN93" s="121">
        <v>39.299999999999997</v>
      </c>
      <c r="AO93" s="139" t="s">
        <v>1072</v>
      </c>
      <c r="AP93" s="122"/>
      <c r="AQ93" s="122"/>
      <c r="AR93" s="122"/>
      <c r="AS93" s="122"/>
      <c r="AT93" s="127">
        <v>48.1</v>
      </c>
      <c r="AU93" s="224"/>
      <c r="AV93" s="228"/>
      <c r="AW93" s="228"/>
      <c r="AX93" s="232"/>
      <c r="AY93" s="228"/>
      <c r="AZ93" s="228"/>
      <c r="BA93" s="462"/>
      <c r="BB93" s="228"/>
      <c r="BC93" s="228"/>
      <c r="BD93" s="228"/>
      <c r="BE93" s="228"/>
      <c r="BF93" s="228"/>
      <c r="BG93" s="228"/>
      <c r="BH93" s="228"/>
      <c r="BI93" s="228"/>
      <c r="BJ93" s="570" t="str">
        <f ca="1">INDIRECT(ADDRESS(MATCH($B93,'【別紙1】標高（入力）'!$B:$B,0),'【別紙1】標高（入力）'!AJ$2,4,TRUE,"【別紙1】標高（入力）"))</f>
        <v/>
      </c>
      <c r="BK93" s="599" t="str">
        <f t="shared" si="22"/>
        <v>-</v>
      </c>
      <c r="BL93" s="605">
        <f t="shared" si="23"/>
        <v>348.1</v>
      </c>
      <c r="BM93" s="603" t="s">
        <v>529</v>
      </c>
      <c r="BN93" s="344" t="s">
        <v>529</v>
      </c>
      <c r="BO93" s="393" t="s">
        <v>726</v>
      </c>
    </row>
    <row r="94" spans="1:67" ht="15.95" customHeight="1">
      <c r="A94" s="119">
        <v>418</v>
      </c>
      <c r="B94" s="107" t="s">
        <v>1178</v>
      </c>
      <c r="C94" s="114" t="s">
        <v>528</v>
      </c>
      <c r="D94" s="110" t="s">
        <v>686</v>
      </c>
      <c r="E94" s="109" t="s">
        <v>1426</v>
      </c>
      <c r="F94" s="111" t="s">
        <v>1262</v>
      </c>
      <c r="G94" s="112" t="s">
        <v>531</v>
      </c>
      <c r="H94" s="112" t="s">
        <v>542</v>
      </c>
      <c r="I94" s="112" t="s">
        <v>1265</v>
      </c>
      <c r="J94" s="112" t="s">
        <v>270</v>
      </c>
      <c r="K94" s="224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9"/>
      <c r="AX94" s="138" t="s">
        <v>289</v>
      </c>
      <c r="AY94" s="138" t="s">
        <v>256</v>
      </c>
      <c r="AZ94" s="135" t="s">
        <v>1069</v>
      </c>
      <c r="BA94" s="460">
        <v>5</v>
      </c>
      <c r="BB94" s="139" t="s">
        <v>1068</v>
      </c>
      <c r="BC94" s="122"/>
      <c r="BD94" s="122">
        <f ca="1">INDIRECT(ADDRESS(MATCH($B94,'【別紙1】標高（入力）'!$B:$B,0),'【別紙1】標高（入力）'!AD$2,4,TRUE,"【別紙1】標高（入力）"))</f>
        <v>5.3000000000000824</v>
      </c>
      <c r="BE94" s="139" t="s">
        <v>1333</v>
      </c>
      <c r="BF94" s="121">
        <f ca="1">INDIRECT(ADDRESS(MATCH($B94,'【別紙1】標高（入力）'!$B:$B,0),'【別紙1】標高（入力）'!AF$2,4,TRUE,"【別紙1】標高（入力）"))</f>
        <v>8.6000000000003851</v>
      </c>
      <c r="BG94" s="122" t="str">
        <f ca="1">INDIRECT(ADDRESS(MATCH($B94,'【別紙1】標高（入力）'!$B:$B,0),'【別紙1】標高（入力）'!AG$2,4,TRUE,"【別紙1】標高（入力）"))</f>
        <v/>
      </c>
      <c r="BH94" s="122" t="str">
        <f ca="1">INDIRECT(ADDRESS(MATCH($B94,'【別紙1】標高（入力）'!$B:$B,0),'【別紙1】標高（入力）'!AH$2,4,TRUE,"【別紙1】標高（入力）"))</f>
        <v/>
      </c>
      <c r="BI94" s="122"/>
      <c r="BJ94" s="624" t="str">
        <f ca="1">INDIRECT(ADDRESS(MATCH($B94,'【別紙1】標高（入力）'!$B:$B,0),'【別紙1】標高（入力）'!AJ$2,4,TRUE,"【別紙1】標高（入力）"))</f>
        <v/>
      </c>
      <c r="BK94" s="598" t="str">
        <f ca="1">IF(AND(ISNUMBER(BI94)*1,ISNUMBER(BH94)*1),BI94,"-")</f>
        <v>-</v>
      </c>
      <c r="BL94" s="604">
        <f ca="1">SUM(K94:BI94)</f>
        <v>18.900000000000468</v>
      </c>
      <c r="BM94" s="600" t="str">
        <f ca="1">INDIRECT(ADDRESS(MATCH($B94,'【別紙1】標高（入力）'!$B:$B,0),'【別紙1】標高（入力）'!$N$2,4,TRUE,"【別紙1】標高（入力）"))</f>
        <v>R2</v>
      </c>
      <c r="BN94" s="340">
        <f ca="1">INDIRECT(ADDRESS(MATCH($B94,'【別紙1】標高（入力）'!$B:$B,0),'【別紙1】標高（入力）'!$O$2,4,TRUE,"【別紙1】標高（入力）"))</f>
        <v>6.7367999999999997</v>
      </c>
      <c r="BO94" s="392" t="s">
        <v>1133</v>
      </c>
    </row>
    <row r="95" spans="1:67" s="231" customFormat="1" ht="15.95" customHeight="1">
      <c r="A95" s="214">
        <v>501</v>
      </c>
      <c r="B95" s="595">
        <v>7287</v>
      </c>
      <c r="C95" s="216" t="s">
        <v>156</v>
      </c>
      <c r="D95" s="217" t="s">
        <v>646</v>
      </c>
      <c r="E95" s="218" t="s">
        <v>157</v>
      </c>
      <c r="F95" s="219" t="s">
        <v>12</v>
      </c>
      <c r="G95" s="220" t="s">
        <v>31</v>
      </c>
      <c r="H95" s="220" t="s">
        <v>541</v>
      </c>
      <c r="I95" s="220" t="s">
        <v>284</v>
      </c>
      <c r="J95" s="220" t="s">
        <v>263</v>
      </c>
      <c r="K95" s="224"/>
      <c r="L95" s="228"/>
      <c r="M95" s="228"/>
      <c r="N95" s="228"/>
      <c r="O95" s="228"/>
      <c r="P95" s="221"/>
      <c r="Q95" s="124">
        <v>7.4</v>
      </c>
      <c r="R95" s="124">
        <v>0.6</v>
      </c>
      <c r="S95" s="136" t="s">
        <v>636</v>
      </c>
      <c r="T95" s="127">
        <v>1.8</v>
      </c>
      <c r="U95" s="224"/>
      <c r="V95" s="228"/>
      <c r="W95" s="228"/>
      <c r="X95" s="228"/>
      <c r="Y95" s="228"/>
      <c r="Z95" s="229"/>
      <c r="AA95" s="411" t="s">
        <v>47</v>
      </c>
      <c r="AB95" s="405" t="s">
        <v>1280</v>
      </c>
      <c r="AC95" s="136" t="s">
        <v>679</v>
      </c>
      <c r="AD95" s="130"/>
      <c r="AE95" s="122"/>
      <c r="AF95" s="122"/>
      <c r="AG95" s="122"/>
      <c r="AH95" s="122">
        <v>3.5</v>
      </c>
      <c r="AI95" s="225"/>
      <c r="AJ95" s="228"/>
      <c r="AK95" s="228"/>
      <c r="AL95" s="228"/>
      <c r="AM95" s="228"/>
      <c r="AN95" s="228"/>
      <c r="AO95" s="228"/>
      <c r="AP95" s="234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462"/>
      <c r="BB95" s="228"/>
      <c r="BC95" s="228"/>
      <c r="BD95" s="228"/>
      <c r="BE95" s="228"/>
      <c r="BF95" s="228"/>
      <c r="BG95" s="228"/>
      <c r="BH95" s="228"/>
      <c r="BI95" s="228"/>
      <c r="BJ95" s="625" t="str">
        <f ca="1">INDIRECT(ADDRESS(MATCH($B95,'【別紙1】標高（入力）'!$B:$B,0),'【別紙1】標高（入力）'!AJ$2,4,TRUE,"【別紙1】標高（入力）"))</f>
        <v/>
      </c>
      <c r="BK95" s="599" t="str">
        <f t="shared" si="22"/>
        <v>-</v>
      </c>
      <c r="BL95" s="605">
        <f t="shared" si="23"/>
        <v>13.3</v>
      </c>
      <c r="BM95" s="603" t="s">
        <v>529</v>
      </c>
      <c r="BN95" s="344" t="s">
        <v>529</v>
      </c>
      <c r="BO95" s="393" t="s">
        <v>348</v>
      </c>
    </row>
    <row r="96" spans="1:67" ht="15.95" customHeight="1">
      <c r="A96" s="119">
        <v>502</v>
      </c>
      <c r="B96" s="591">
        <v>7288</v>
      </c>
      <c r="C96" s="114" t="s">
        <v>156</v>
      </c>
      <c r="D96" s="110" t="s">
        <v>639</v>
      </c>
      <c r="E96" s="109" t="s">
        <v>159</v>
      </c>
      <c r="F96" s="111" t="s">
        <v>12</v>
      </c>
      <c r="G96" s="112" t="s">
        <v>31</v>
      </c>
      <c r="H96" s="112" t="s">
        <v>541</v>
      </c>
      <c r="I96" s="112" t="s">
        <v>284</v>
      </c>
      <c r="J96" s="112" t="s">
        <v>263</v>
      </c>
      <c r="K96" s="224"/>
      <c r="L96" s="228"/>
      <c r="M96" s="228"/>
      <c r="N96" s="228"/>
      <c r="O96" s="228"/>
      <c r="P96" s="221"/>
      <c r="Q96" s="124">
        <v>4.9000000000000004</v>
      </c>
      <c r="R96" s="124">
        <v>-4.7</v>
      </c>
      <c r="S96" s="136" t="s">
        <v>636</v>
      </c>
      <c r="T96" s="127">
        <v>3.3</v>
      </c>
      <c r="U96" s="136" t="s">
        <v>1275</v>
      </c>
      <c r="V96" s="122"/>
      <c r="W96" s="122"/>
      <c r="X96" s="122"/>
      <c r="Y96" s="122"/>
      <c r="Z96" s="122"/>
      <c r="AA96" s="122"/>
      <c r="AB96" s="127">
        <v>9.3000000000000007</v>
      </c>
      <c r="AC96" s="136" t="s">
        <v>679</v>
      </c>
      <c r="AD96" s="122"/>
      <c r="AE96" s="122"/>
      <c r="AF96" s="122"/>
      <c r="AG96" s="122"/>
      <c r="AH96" s="122">
        <v>-2.9</v>
      </c>
      <c r="AI96" s="139" t="s">
        <v>707</v>
      </c>
      <c r="AJ96" s="122"/>
      <c r="AK96" s="122"/>
      <c r="AL96" s="122"/>
      <c r="AM96" s="122"/>
      <c r="AN96" s="122"/>
      <c r="AO96" s="122"/>
      <c r="AP96" s="121">
        <v>15.8</v>
      </c>
      <c r="AQ96" s="135" t="s">
        <v>1072</v>
      </c>
      <c r="AR96" s="122"/>
      <c r="AS96" s="122"/>
      <c r="AT96" s="122"/>
      <c r="AU96" s="122"/>
      <c r="AV96" s="122">
        <v>-1.8</v>
      </c>
      <c r="AW96" s="139" t="s">
        <v>1072</v>
      </c>
      <c r="AX96" s="122"/>
      <c r="AY96" s="122"/>
      <c r="AZ96" s="122"/>
      <c r="BA96" s="460"/>
      <c r="BB96" s="121">
        <v>4.4000000000000004</v>
      </c>
      <c r="BC96" s="139" t="s">
        <v>1070</v>
      </c>
      <c r="BD96" s="122" t="str">
        <f ca="1">INDIRECT(ADDRESS(MATCH($B96,'【別紙1】標高（入力）'!$B:$B,0),'【別紙1】標高（入力）'!AD$2,4,TRUE,"【別紙1】標高（入力）"))</f>
        <v/>
      </c>
      <c r="BE96" s="122" t="str">
        <f ca="1">INDIRECT(ADDRESS(MATCH($B96,'【別紙1】標高（入力）'!$B:$B,0),'【別紙1】標高（入力）'!AE$2,4,TRUE,"【別紙1】標高（入力）"))</f>
        <v/>
      </c>
      <c r="BF96" s="122" t="str">
        <f ca="1">INDIRECT(ADDRESS(MATCH($B96,'【別紙1】標高（入力）'!$B:$B,0),'【別紙1】標高（入力）'!AF$2,4,TRUE,"【別紙1】標高（入力）"))</f>
        <v/>
      </c>
      <c r="BG96" s="121">
        <f ca="1">INDIRECT(ADDRESS(MATCH($B96,'【別紙1】標高（入力）'!$B:$B,0),'【別紙1】標高（入力）'!AG$2,4,TRUE,"【別紙1】標高（入力）"))</f>
        <v>1.2000000000043087</v>
      </c>
      <c r="BH96" s="126">
        <f ca="1">INDIRECT(ADDRESS(MATCH($B96,'【別紙1】標高（入力）'!$B:$B,0),'【別紙1】標高（入力）'!AH$2,4,TRUE,"【別紙1】標高（入力）"))</f>
        <v>2.0999999999986585</v>
      </c>
      <c r="BI96" s="122"/>
      <c r="BJ96" s="624" t="str">
        <f ca="1">INDIRECT(ADDRESS(MATCH($B96,'【別紙1】標高（入力）'!$B:$B,0),'【別紙1】標高（入力）'!AJ$2,4,TRUE,"【別紙1】標高（入力）"))</f>
        <v/>
      </c>
      <c r="BK96" s="598" t="str">
        <f t="shared" ref="BK96:BK102" ca="1" si="28">IF(AND(ISNUMBER(BI96)*1,ISNUMBER(BH96)*1),BI96,"-")</f>
        <v>-</v>
      </c>
      <c r="BL96" s="604">
        <f t="shared" ref="BL96:BL102" ca="1" si="29">SUM(K96:BI96)</f>
        <v>31.600000000002971</v>
      </c>
      <c r="BM96" s="600" t="str">
        <f ca="1">INDIRECT(ADDRESS(MATCH($B96,'【別紙1】標高（入力）'!$B:$B,0),'【別紙1】標高（入力）'!$N$2,4,TRUE,"【別紙1】標高（入力）"))</f>
        <v>R4</v>
      </c>
      <c r="BN96" s="340">
        <f ca="1">INDIRECT(ADDRESS(MATCH($B96,'【別紙1】標高（入力）'!$B:$B,0),'【別紙1】標高（入力）'!$O$2,4,TRUE,"【別紙1】標高（入力）"))</f>
        <v>52.209699999999998</v>
      </c>
      <c r="BO96" s="392"/>
    </row>
    <row r="97" spans="1:67" ht="15.95" customHeight="1">
      <c r="A97" s="119">
        <v>503</v>
      </c>
      <c r="B97" s="591">
        <v>7289</v>
      </c>
      <c r="C97" s="114" t="s">
        <v>156</v>
      </c>
      <c r="D97" s="110" t="s">
        <v>574</v>
      </c>
      <c r="E97" s="597" t="s">
        <v>1427</v>
      </c>
      <c r="F97" s="111" t="s">
        <v>12</v>
      </c>
      <c r="G97" s="112" t="s">
        <v>31</v>
      </c>
      <c r="H97" s="112" t="s">
        <v>541</v>
      </c>
      <c r="I97" s="112" t="s">
        <v>284</v>
      </c>
      <c r="J97" s="112" t="s">
        <v>263</v>
      </c>
      <c r="K97" s="224"/>
      <c r="L97" s="228"/>
      <c r="M97" s="228"/>
      <c r="N97" s="228"/>
      <c r="O97" s="228"/>
      <c r="P97" s="221"/>
      <c r="Q97" s="124">
        <v>3.7</v>
      </c>
      <c r="R97" s="124">
        <v>-0.3</v>
      </c>
      <c r="S97" s="136" t="s">
        <v>636</v>
      </c>
      <c r="T97" s="127">
        <v>0.5</v>
      </c>
      <c r="U97" s="136" t="s">
        <v>652</v>
      </c>
      <c r="V97" s="122"/>
      <c r="W97" s="122"/>
      <c r="X97" s="127">
        <v>2.9</v>
      </c>
      <c r="Y97" s="136" t="s">
        <v>652</v>
      </c>
      <c r="Z97" s="122"/>
      <c r="AA97" s="122"/>
      <c r="AB97" s="127">
        <v>11.5</v>
      </c>
      <c r="AC97" s="136" t="s">
        <v>1273</v>
      </c>
      <c r="AD97" s="122"/>
      <c r="AE97" s="127">
        <v>-2.1</v>
      </c>
      <c r="AF97" s="136" t="s">
        <v>1273</v>
      </c>
      <c r="AG97" s="122"/>
      <c r="AH97" s="122">
        <v>-0.3</v>
      </c>
      <c r="AI97" s="139" t="s">
        <v>707</v>
      </c>
      <c r="AJ97" s="122"/>
      <c r="AK97" s="122"/>
      <c r="AL97" s="122"/>
      <c r="AM97" s="122"/>
      <c r="AN97" s="122"/>
      <c r="AO97" s="122"/>
      <c r="AP97" s="121">
        <v>19.100000000000001</v>
      </c>
      <c r="AQ97" s="139" t="s">
        <v>1071</v>
      </c>
      <c r="AR97" s="122"/>
      <c r="AS97" s="122"/>
      <c r="AT97" s="122">
        <v>-2.1</v>
      </c>
      <c r="AU97" s="125">
        <v>-2.2000000000000002</v>
      </c>
      <c r="AV97" s="125">
        <v>1.2</v>
      </c>
      <c r="AW97" s="139" t="s">
        <v>1068</v>
      </c>
      <c r="AX97" s="122"/>
      <c r="AY97" s="122">
        <v>-5.6</v>
      </c>
      <c r="AZ97" s="139" t="s">
        <v>1069</v>
      </c>
      <c r="BA97" s="460">
        <v>-0.5</v>
      </c>
      <c r="BB97" s="126">
        <v>0.9</v>
      </c>
      <c r="BC97" s="139" t="s">
        <v>1069</v>
      </c>
      <c r="BD97" s="122">
        <f ca="1">INDIRECT(ADDRESS(MATCH($B97,'【別紙1】標高（入力）'!$B:$B,0),'【別紙1】標高（入力）'!AD$2,4,TRUE,"【別紙1】標高（入力）"))</f>
        <v>-0.79999999999813554</v>
      </c>
      <c r="BE97" s="139" t="s">
        <v>1333</v>
      </c>
      <c r="BF97" s="121">
        <f ca="1">INDIRECT(ADDRESS(MATCH($B97,'【別紙1】標高（入力）'!$B:$B,0),'【別紙1】標高（入力）'!AF$2,4,TRUE,"【別紙1】標高（入力）"))</f>
        <v>4.2000000000044224</v>
      </c>
      <c r="BG97" s="121">
        <f ca="1">INDIRECT(ADDRESS(MATCH($B97,'【別紙1】標高（入力）'!$B:$B,0),'【別紙1】標高（入力）'!AG$2,4,TRUE,"【別紙1】標高（入力）"))</f>
        <v>-0.90000000000145519</v>
      </c>
      <c r="BH97" s="125" t="str">
        <f ca="1">INDIRECT(ADDRESS(MATCH($B97,'【別紙1】標高（入力）'!$B:$B,0),'【別紙1】標高（入力）'!AH$2,4,TRUE,"【別紙1】標高（入力）"))</f>
        <v/>
      </c>
      <c r="BI97" s="122"/>
      <c r="BJ97" s="567" t="str">
        <f ca="1">INDIRECT(ADDRESS(MATCH($B97,'【別紙1】標高（入力）'!$B:$B,0),'【別紙1】標高（入力）'!AJ$2,4,TRUE,"【別紙1】標高（入力）"))</f>
        <v/>
      </c>
      <c r="BK97" s="598" t="str">
        <f t="shared" ca="1" si="28"/>
        <v>-</v>
      </c>
      <c r="BL97" s="604">
        <f t="shared" ca="1" si="29"/>
        <v>29.200000000004827</v>
      </c>
      <c r="BM97" s="600" t="str">
        <f ca="1">INDIRECT(ADDRESS(MATCH($B97,'【別紙1】標高（入力）'!$B:$B,0),'【別紙1】標高（入力）'!$N$2,4,TRUE,"【別紙1】標高（入力）"))</f>
        <v>R3</v>
      </c>
      <c r="BN97" s="340">
        <f ca="1">INDIRECT(ADDRESS(MATCH($B97,'【別紙1】標高（入力）'!$B:$B,0),'【別紙1】標高（入力）'!$O$2,4,TRUE,"【別紙1】標高（入力）"))</f>
        <v>34.584499999999998</v>
      </c>
      <c r="BO97" s="392"/>
    </row>
    <row r="98" spans="1:67" ht="15.95" customHeight="1">
      <c r="A98" s="119">
        <v>504</v>
      </c>
      <c r="B98" s="107" t="s">
        <v>484</v>
      </c>
      <c r="C98" s="114" t="s">
        <v>156</v>
      </c>
      <c r="D98" s="110" t="s">
        <v>560</v>
      </c>
      <c r="E98" s="597" t="s">
        <v>1428</v>
      </c>
      <c r="F98" s="111" t="s">
        <v>9</v>
      </c>
      <c r="G98" s="112" t="s">
        <v>10</v>
      </c>
      <c r="H98" s="112" t="s">
        <v>541</v>
      </c>
      <c r="I98" s="112" t="s">
        <v>281</v>
      </c>
      <c r="J98" s="112" t="s">
        <v>547</v>
      </c>
      <c r="K98" s="224"/>
      <c r="L98" s="228"/>
      <c r="M98" s="221"/>
      <c r="N98" s="136" t="s">
        <v>1273</v>
      </c>
      <c r="O98" s="122"/>
      <c r="P98" s="127">
        <v>2</v>
      </c>
      <c r="Q98" s="124">
        <v>9.1999999999999993</v>
      </c>
      <c r="R98" s="124">
        <v>1.8</v>
      </c>
      <c r="S98" s="136" t="s">
        <v>636</v>
      </c>
      <c r="T98" s="127">
        <v>7</v>
      </c>
      <c r="U98" s="136" t="s">
        <v>1275</v>
      </c>
      <c r="V98" s="122"/>
      <c r="W98" s="122"/>
      <c r="X98" s="122"/>
      <c r="Y98" s="122"/>
      <c r="Z98" s="122"/>
      <c r="AA98" s="122"/>
      <c r="AB98" s="127">
        <v>10.7</v>
      </c>
      <c r="AC98" s="136" t="s">
        <v>1273</v>
      </c>
      <c r="AD98" s="122"/>
      <c r="AE98" s="127">
        <v>1.8</v>
      </c>
      <c r="AF98" s="136" t="s">
        <v>1273</v>
      </c>
      <c r="AG98" s="122"/>
      <c r="AH98" s="122">
        <v>1.4</v>
      </c>
      <c r="AI98" s="139" t="s">
        <v>707</v>
      </c>
      <c r="AJ98" s="122"/>
      <c r="AK98" s="122"/>
      <c r="AL98" s="122"/>
      <c r="AM98" s="122"/>
      <c r="AN98" s="122"/>
      <c r="AO98" s="122"/>
      <c r="AP98" s="121">
        <v>26.3</v>
      </c>
      <c r="AQ98" s="135" t="s">
        <v>1072</v>
      </c>
      <c r="AR98" s="122"/>
      <c r="AS98" s="122"/>
      <c r="AT98" s="122"/>
      <c r="AU98" s="122"/>
      <c r="AV98" s="121">
        <v>-5.4</v>
      </c>
      <c r="AW98" s="139" t="s">
        <v>1070</v>
      </c>
      <c r="AX98" s="122"/>
      <c r="AY98" s="122"/>
      <c r="AZ98" s="122"/>
      <c r="BA98" s="460">
        <v>0.2</v>
      </c>
      <c r="BB98" s="139"/>
      <c r="BC98" s="122"/>
      <c r="BD98" s="138" t="s">
        <v>530</v>
      </c>
      <c r="BE98" s="135" t="s">
        <v>1383</v>
      </c>
      <c r="BF98" s="122" t="str">
        <f ca="1">INDIRECT(ADDRESS(MATCH($B98,'【別紙1】標高（入力）'!$B:$B,0),'【別紙1】標高（入力）'!AF$2,4,TRUE,"【別紙1】標高（入力）"))</f>
        <v/>
      </c>
      <c r="BG98" s="122"/>
      <c r="BH98" s="121">
        <f ca="1">INDIRECT(ADDRESS(MATCH($B98,'【別紙1】標高（入力）'!$B:$B,0),'【別紙1】標高（入力）'!AH$2,4,TRUE,"【別紙1】標高（入力）"))</f>
        <v>2.0000000000024443</v>
      </c>
      <c r="BI98" s="122"/>
      <c r="BJ98" s="624" t="str">
        <f ca="1">INDIRECT(ADDRESS(MATCH($B98,'【別紙1】標高（入力）'!$B:$B,0),'【別紙1】標高（入力）'!AJ$2,4,TRUE,"【別紙1】標高（入力）"))</f>
        <v/>
      </c>
      <c r="BK98" s="598" t="str">
        <f t="shared" ca="1" si="28"/>
        <v>-</v>
      </c>
      <c r="BL98" s="604">
        <f t="shared" ca="1" si="29"/>
        <v>57.000000000002451</v>
      </c>
      <c r="BM98" s="600" t="str">
        <f ca="1">INDIRECT(ADDRESS(MATCH($B98,'【別紙1】標高（入力）'!$B:$B,0),'【別紙1】標高（入力）'!$N$2,4,TRUE,"【別紙1】標高（入力）"))</f>
        <v>R4</v>
      </c>
      <c r="BN98" s="340">
        <f ca="1">INDIRECT(ADDRESS(MATCH($B98,'【別紙1】標高（入力）'!$B:$B,0),'【別紙1】標高（入力）'!$O$2,4,TRUE,"【別紙1】標高（入力）"))</f>
        <v>51.691699999999997</v>
      </c>
      <c r="BO98" s="392" t="s">
        <v>1478</v>
      </c>
    </row>
    <row r="99" spans="1:67" ht="15.95" customHeight="1">
      <c r="A99" s="119">
        <v>505</v>
      </c>
      <c r="B99" s="107" t="s">
        <v>486</v>
      </c>
      <c r="C99" s="114" t="s">
        <v>156</v>
      </c>
      <c r="D99" s="110" t="s">
        <v>719</v>
      </c>
      <c r="E99" s="109" t="s">
        <v>165</v>
      </c>
      <c r="F99" s="111" t="s">
        <v>9</v>
      </c>
      <c r="G99" s="112" t="s">
        <v>10</v>
      </c>
      <c r="H99" s="112" t="s">
        <v>541</v>
      </c>
      <c r="I99" s="112" t="s">
        <v>284</v>
      </c>
      <c r="J99" s="112" t="s">
        <v>263</v>
      </c>
      <c r="K99" s="224"/>
      <c r="L99" s="228"/>
      <c r="M99" s="221"/>
      <c r="N99" s="136" t="s">
        <v>1273</v>
      </c>
      <c r="O99" s="122"/>
      <c r="P99" s="127">
        <v>6.6</v>
      </c>
      <c r="Q99" s="124">
        <v>6.4</v>
      </c>
      <c r="R99" s="124">
        <v>2.5</v>
      </c>
      <c r="S99" s="136" t="s">
        <v>636</v>
      </c>
      <c r="T99" s="127">
        <v>1.5</v>
      </c>
      <c r="U99" s="136" t="s">
        <v>1275</v>
      </c>
      <c r="V99" s="122"/>
      <c r="W99" s="122"/>
      <c r="X99" s="122"/>
      <c r="Y99" s="122"/>
      <c r="Z99" s="122"/>
      <c r="AA99" s="122"/>
      <c r="AB99" s="127">
        <v>13.1</v>
      </c>
      <c r="AC99" s="136" t="s">
        <v>1273</v>
      </c>
      <c r="AD99" s="122"/>
      <c r="AE99" s="127">
        <v>2.7</v>
      </c>
      <c r="AF99" s="136" t="s">
        <v>1273</v>
      </c>
      <c r="AG99" s="122"/>
      <c r="AH99" s="122">
        <v>0.6</v>
      </c>
      <c r="AI99" s="139" t="s">
        <v>707</v>
      </c>
      <c r="AJ99" s="122"/>
      <c r="AK99" s="122"/>
      <c r="AL99" s="122"/>
      <c r="AM99" s="122"/>
      <c r="AN99" s="122"/>
      <c r="AO99" s="122"/>
      <c r="AP99" s="121">
        <v>19.5</v>
      </c>
      <c r="AQ99" s="139" t="s">
        <v>1071</v>
      </c>
      <c r="AR99" s="122"/>
      <c r="AS99" s="122"/>
      <c r="AT99" s="122">
        <v>-2.2999999999999998</v>
      </c>
      <c r="AU99" s="126">
        <v>0.3</v>
      </c>
      <c r="AV99" s="139" t="s">
        <v>1071</v>
      </c>
      <c r="AW99" s="122"/>
      <c r="AX99" s="122"/>
      <c r="AY99" s="122">
        <v>6.2</v>
      </c>
      <c r="AZ99" s="139" t="s">
        <v>1069</v>
      </c>
      <c r="BA99" s="460">
        <v>-0.7</v>
      </c>
      <c r="BB99" s="139" t="s">
        <v>1068</v>
      </c>
      <c r="BC99" s="122"/>
      <c r="BD99" s="122">
        <f ca="1">INDIRECT(ADDRESS(MATCH($B99,'【別紙1】標高（入力）'!$B:$B,0),'【別紙1】標高（入力）'!AD$2,4,TRUE,"【別紙1】標高（入力）"))</f>
        <v>-1.2000000000043087</v>
      </c>
      <c r="BE99" s="139" t="s">
        <v>1333</v>
      </c>
      <c r="BF99" s="121">
        <f ca="1">INDIRECT(ADDRESS(MATCH($B99,'【別紙1】標高（入力）'!$B:$B,0),'【別紙1】標高（入力）'!AF$2,4,TRUE,"【別紙1】標高（入力）"))</f>
        <v>5.0999999999987722</v>
      </c>
      <c r="BG99" s="139" t="s">
        <v>1073</v>
      </c>
      <c r="BH99" s="121">
        <f ca="1">INDIRECT(ADDRESS(MATCH($B99,'【別紙1】標高（入力）'!$B:$B,0),'【別紙1】標高（入力）'!AH$2,4,TRUE,"【別紙1】標高（入力）"))</f>
        <v>2.9000000000038995</v>
      </c>
      <c r="BI99" s="122"/>
      <c r="BJ99" s="624" t="str">
        <f ca="1">INDIRECT(ADDRESS(MATCH($B99,'【別紙1】標高（入力）'!$B:$B,0),'【別紙1】標高（入力）'!AJ$2,4,TRUE,"【別紙1】標高（入力）"))</f>
        <v/>
      </c>
      <c r="BK99" s="598" t="str">
        <f t="shared" ca="1" si="28"/>
        <v>-</v>
      </c>
      <c r="BL99" s="604">
        <f t="shared" ca="1" si="29"/>
        <v>63.199999999998369</v>
      </c>
      <c r="BM99" s="600" t="str">
        <f ca="1">INDIRECT(ADDRESS(MATCH($B99,'【別紙1】標高（入力）'!$B:$B,0),'【別紙1】標高（入力）'!$N$2,4,TRUE,"【別紙1】標高（入力）"))</f>
        <v>R4</v>
      </c>
      <c r="BN99" s="340">
        <f ca="1">INDIRECT(ADDRESS(MATCH($B99,'【別紙1】標高（入力）'!$B:$B,0),'【別紙1】標高（入力）'!$O$2,4,TRUE,"【別紙1】標高（入力）"))</f>
        <v>35.787199999999999</v>
      </c>
      <c r="BO99" s="392"/>
    </row>
    <row r="100" spans="1:67" ht="15.95" customHeight="1">
      <c r="A100" s="119">
        <v>506</v>
      </c>
      <c r="B100" s="107" t="s">
        <v>1179</v>
      </c>
      <c r="C100" s="114" t="s">
        <v>156</v>
      </c>
      <c r="D100" s="110" t="s">
        <v>712</v>
      </c>
      <c r="E100" s="109" t="s">
        <v>167</v>
      </c>
      <c r="F100" s="111" t="s">
        <v>9</v>
      </c>
      <c r="G100" s="112" t="s">
        <v>10</v>
      </c>
      <c r="H100" s="112" t="s">
        <v>541</v>
      </c>
      <c r="I100" s="112" t="s">
        <v>284</v>
      </c>
      <c r="J100" s="112" t="s">
        <v>263</v>
      </c>
      <c r="K100" s="224"/>
      <c r="L100" s="228"/>
      <c r="M100" s="221"/>
      <c r="N100" s="136" t="s">
        <v>1273</v>
      </c>
      <c r="O100" s="122"/>
      <c r="P100" s="127">
        <v>6.5</v>
      </c>
      <c r="Q100" s="124">
        <v>4.3</v>
      </c>
      <c r="R100" s="224"/>
      <c r="S100" s="228"/>
      <c r="T100" s="228"/>
      <c r="U100" s="221"/>
      <c r="V100" s="129" t="s">
        <v>168</v>
      </c>
      <c r="W100" s="224"/>
      <c r="X100" s="221"/>
      <c r="Y100" s="136" t="s">
        <v>652</v>
      </c>
      <c r="Z100" s="122"/>
      <c r="AA100" s="122"/>
      <c r="AB100" s="127">
        <v>11</v>
      </c>
      <c r="AC100" s="136" t="s">
        <v>1273</v>
      </c>
      <c r="AD100" s="122"/>
      <c r="AE100" s="127">
        <v>0.2</v>
      </c>
      <c r="AF100" s="136" t="s">
        <v>1273</v>
      </c>
      <c r="AG100" s="122"/>
      <c r="AH100" s="122">
        <v>-0.3</v>
      </c>
      <c r="AI100" s="139" t="s">
        <v>707</v>
      </c>
      <c r="AJ100" s="122"/>
      <c r="AK100" s="122"/>
      <c r="AL100" s="122"/>
      <c r="AM100" s="122"/>
      <c r="AN100" s="122"/>
      <c r="AO100" s="122"/>
      <c r="AP100" s="121">
        <v>18.600000000000001</v>
      </c>
      <c r="AQ100" s="139" t="s">
        <v>1071</v>
      </c>
      <c r="AR100" s="122"/>
      <c r="AS100" s="122"/>
      <c r="AT100" s="122">
        <v>0.4</v>
      </c>
      <c r="AU100" s="125">
        <v>-2.1</v>
      </c>
      <c r="AV100" s="139" t="s">
        <v>1071</v>
      </c>
      <c r="AW100" s="122"/>
      <c r="AX100" s="122"/>
      <c r="AY100" s="122">
        <v>3.7</v>
      </c>
      <c r="AZ100" s="139" t="s">
        <v>1069</v>
      </c>
      <c r="BA100" s="460">
        <v>-0.9</v>
      </c>
      <c r="BB100" s="139" t="s">
        <v>1068</v>
      </c>
      <c r="BC100" s="122"/>
      <c r="BD100" s="122">
        <f ca="1">INDIRECT(ADDRESS(MATCH($B100,'【別紙1】標高（入力）'!$B:$B,0),'【別紙1】標高（入力）'!AD$2,4,TRUE,"【別紙1】標高（入力）"))</f>
        <v>-3.5999999999987153</v>
      </c>
      <c r="BE100" s="139" t="s">
        <v>1333</v>
      </c>
      <c r="BF100" s="121">
        <f ca="1">INDIRECT(ADDRESS(MATCH($B100,'【別紙1】標高（入力）'!$B:$B,0),'【別紙1】標高（入力）'!AF$2,4,TRUE,"【別紙1】標高（入力）"))</f>
        <v>5.2999999999983061</v>
      </c>
      <c r="BG100" s="125" t="str">
        <f ca="1">INDIRECT(ADDRESS(MATCH($B100,'【別紙1】標高（入力）'!$B:$B,0),'【別紙1】標高（入力）'!AG$2,4,TRUE,"【別紙1】標高（入力）"))</f>
        <v/>
      </c>
      <c r="BH100" s="122" t="str">
        <f ca="1">INDIRECT(ADDRESS(MATCH($B100,'【別紙1】標高（入力）'!$B:$B,0),'【別紙1】標高（入力）'!AH$2,4,TRUE,"【別紙1】標高（入力）"))</f>
        <v/>
      </c>
      <c r="BI100" s="122"/>
      <c r="BJ100" s="624" t="str">
        <f ca="1">INDIRECT(ADDRESS(MATCH($B100,'【別紙1】標高（入力）'!$B:$B,0),'【別紙1】標高（入力）'!AJ$2,4,TRUE,"【別紙1】標高（入力）"))</f>
        <v/>
      </c>
      <c r="BK100" s="598" t="str">
        <f t="shared" ca="1" si="28"/>
        <v>-</v>
      </c>
      <c r="BL100" s="604">
        <f t="shared" ca="1" si="29"/>
        <v>43.099999999999589</v>
      </c>
      <c r="BM100" s="600" t="str">
        <f ca="1">INDIRECT(ADDRESS(MATCH($B100,'【別紙1】標高（入力）'!$B:$B,0),'【別紙1】標高（入力）'!$N$2,4,TRUE,"【別紙1】標高（入力）"))</f>
        <v>R2</v>
      </c>
      <c r="BN100" s="340">
        <f ca="1">INDIRECT(ADDRESS(MATCH($B100,'【別紙1】標高（入力）'!$B:$B,0),'【別紙1】標高（入力）'!$O$2,4,TRUE,"【別紙1】標高（入力）"))</f>
        <v>34.5901</v>
      </c>
      <c r="BO100" s="392"/>
    </row>
    <row r="101" spans="1:67" ht="15.95" customHeight="1">
      <c r="A101" s="119">
        <v>507</v>
      </c>
      <c r="B101" s="107" t="s">
        <v>1180</v>
      </c>
      <c r="C101" s="114" t="s">
        <v>156</v>
      </c>
      <c r="D101" s="110" t="s">
        <v>717</v>
      </c>
      <c r="E101" s="109" t="s">
        <v>170</v>
      </c>
      <c r="F101" s="111" t="s">
        <v>9</v>
      </c>
      <c r="G101" s="112" t="s">
        <v>127</v>
      </c>
      <c r="H101" s="112" t="s">
        <v>541</v>
      </c>
      <c r="I101" s="112" t="s">
        <v>141</v>
      </c>
      <c r="J101" s="112" t="s">
        <v>547</v>
      </c>
      <c r="K101" s="224"/>
      <c r="L101" s="228"/>
      <c r="M101" s="228"/>
      <c r="N101" s="228"/>
      <c r="O101" s="228"/>
      <c r="P101" s="228"/>
      <c r="Q101" s="221"/>
      <c r="R101" s="124">
        <v>0.5</v>
      </c>
      <c r="S101" s="136" t="s">
        <v>636</v>
      </c>
      <c r="T101" s="127">
        <v>6.9</v>
      </c>
      <c r="U101" s="136" t="s">
        <v>1275</v>
      </c>
      <c r="V101" s="122"/>
      <c r="W101" s="122"/>
      <c r="X101" s="122"/>
      <c r="Y101" s="122"/>
      <c r="Z101" s="122"/>
      <c r="AA101" s="122"/>
      <c r="AB101" s="127">
        <v>2.2999999999999998</v>
      </c>
      <c r="AC101" s="136" t="s">
        <v>679</v>
      </c>
      <c r="AD101" s="122"/>
      <c r="AE101" s="122"/>
      <c r="AF101" s="122"/>
      <c r="AG101" s="122"/>
      <c r="AH101" s="122">
        <v>-1.9</v>
      </c>
      <c r="AI101" s="139" t="s">
        <v>707</v>
      </c>
      <c r="AJ101" s="122"/>
      <c r="AK101" s="122"/>
      <c r="AL101" s="122"/>
      <c r="AM101" s="122"/>
      <c r="AN101" s="122"/>
      <c r="AO101" s="122"/>
      <c r="AP101" s="121">
        <v>13.6</v>
      </c>
      <c r="AQ101" s="135" t="s">
        <v>1072</v>
      </c>
      <c r="AR101" s="122"/>
      <c r="AS101" s="122"/>
      <c r="AT101" s="122"/>
      <c r="AU101" s="122"/>
      <c r="AV101" s="121">
        <v>-1.8</v>
      </c>
      <c r="AW101" s="139" t="s">
        <v>1072</v>
      </c>
      <c r="AX101" s="122"/>
      <c r="AY101" s="122"/>
      <c r="AZ101" s="122"/>
      <c r="BA101" s="460"/>
      <c r="BB101" s="121">
        <v>2.4</v>
      </c>
      <c r="BC101" s="139" t="s">
        <v>1070</v>
      </c>
      <c r="BD101" s="122" t="str">
        <f ca="1">INDIRECT(ADDRESS(MATCH($B101,'【別紙1】標高（入力）'!$B:$B,0),'【別紙1】標高（入力）'!AD$2,4,TRUE,"【別紙1】標高（入力）"))</f>
        <v/>
      </c>
      <c r="BE101" s="122" t="str">
        <f ca="1">INDIRECT(ADDRESS(MATCH($B101,'【別紙1】標高（入力）'!$B:$B,0),'【別紙1】標高（入力）'!AE$2,4,TRUE,"【別紙1】標高（入力）"))</f>
        <v/>
      </c>
      <c r="BF101" s="122" t="str">
        <f ca="1">INDIRECT(ADDRESS(MATCH($B101,'【別紙1】標高（入力）'!$B:$B,0),'【別紙1】標高（入力）'!AF$2,4,TRUE,"【別紙1】標高（入力）"))</f>
        <v/>
      </c>
      <c r="BG101" s="121">
        <f ca="1">INDIRECT(ADDRESS(MATCH($B101,'【別紙1】標高（入力）'!$B:$B,0),'【別紙1】標高（入力）'!AG$2,4,TRUE,"【別紙1】標高（入力）"))</f>
        <v>2.899999999996794</v>
      </c>
      <c r="BH101" s="125" t="str">
        <f ca="1">INDIRECT(ADDRESS(MATCH($B101,'【別紙1】標高（入力）'!$B:$B,0),'【別紙1】標高（入力）'!AH$2,4,TRUE,"【別紙1】標高（入力）"))</f>
        <v/>
      </c>
      <c r="BI101" s="122"/>
      <c r="BJ101" s="624" t="str">
        <f ca="1">INDIRECT(ADDRESS(MATCH($B101,'【別紙1】標高（入力）'!$B:$B,0),'【別紙1】標高（入力）'!AJ$2,4,TRUE,"【別紙1】標高（入力）"))</f>
        <v/>
      </c>
      <c r="BK101" s="598" t="str">
        <f t="shared" ca="1" si="28"/>
        <v>-</v>
      </c>
      <c r="BL101" s="604">
        <f t="shared" ca="1" si="29"/>
        <v>24.89999999999679</v>
      </c>
      <c r="BM101" s="600" t="str">
        <f ca="1">INDIRECT(ADDRESS(MATCH($B101,'【別紙1】標高（入力）'!$B:$B,0),'【別紙1】標高（入力）'!$N$2,4,TRUE,"【別紙1】標高（入力）"))</f>
        <v>R3</v>
      </c>
      <c r="BN101" s="340">
        <f ca="1">INDIRECT(ADDRESS(MATCH($B101,'【別紙1】標高（入力）'!$B:$B,0),'【別紙1】標高（入力）'!$O$2,4,TRUE,"【別紙1】標高（入力）"))</f>
        <v>106.8322</v>
      </c>
      <c r="BO101" s="392"/>
    </row>
    <row r="102" spans="1:67" ht="15.95" customHeight="1">
      <c r="A102" s="119">
        <v>508</v>
      </c>
      <c r="B102" s="107" t="s">
        <v>490</v>
      </c>
      <c r="C102" s="114" t="s">
        <v>156</v>
      </c>
      <c r="D102" s="110" t="s">
        <v>687</v>
      </c>
      <c r="E102" s="109" t="s">
        <v>172</v>
      </c>
      <c r="F102" s="111" t="s">
        <v>9</v>
      </c>
      <c r="G102" s="112" t="s">
        <v>127</v>
      </c>
      <c r="H102" s="112" t="s">
        <v>541</v>
      </c>
      <c r="I102" s="112" t="s">
        <v>141</v>
      </c>
      <c r="J102" s="112" t="s">
        <v>547</v>
      </c>
      <c r="K102" s="224"/>
      <c r="L102" s="228"/>
      <c r="M102" s="228"/>
      <c r="N102" s="228"/>
      <c r="O102" s="228"/>
      <c r="P102" s="228"/>
      <c r="Q102" s="221"/>
      <c r="R102" s="124">
        <v>3.3</v>
      </c>
      <c r="S102" s="136" t="s">
        <v>636</v>
      </c>
      <c r="T102" s="127">
        <v>2</v>
      </c>
      <c r="U102" s="136" t="s">
        <v>1275</v>
      </c>
      <c r="V102" s="122"/>
      <c r="W102" s="122"/>
      <c r="X102" s="122"/>
      <c r="Y102" s="122"/>
      <c r="Z102" s="122"/>
      <c r="AA102" s="122"/>
      <c r="AB102" s="127">
        <v>6.6</v>
      </c>
      <c r="AC102" s="136" t="s">
        <v>679</v>
      </c>
      <c r="AD102" s="122"/>
      <c r="AE102" s="122"/>
      <c r="AF102" s="122"/>
      <c r="AG102" s="122"/>
      <c r="AH102" s="122">
        <v>-0.5</v>
      </c>
      <c r="AI102" s="139" t="s">
        <v>707</v>
      </c>
      <c r="AJ102" s="122"/>
      <c r="AK102" s="122"/>
      <c r="AL102" s="122"/>
      <c r="AM102" s="122"/>
      <c r="AN102" s="122"/>
      <c r="AO102" s="122"/>
      <c r="AP102" s="121">
        <v>24.1</v>
      </c>
      <c r="AQ102" s="139" t="s">
        <v>1072</v>
      </c>
      <c r="AR102" s="122"/>
      <c r="AS102" s="122"/>
      <c r="AT102" s="122"/>
      <c r="AU102" s="122"/>
      <c r="AV102" s="121">
        <v>-7.8</v>
      </c>
      <c r="AW102" s="139" t="s">
        <v>1070</v>
      </c>
      <c r="AX102" s="122"/>
      <c r="AY102" s="122"/>
      <c r="AZ102" s="122"/>
      <c r="BA102" s="460">
        <v>2.8</v>
      </c>
      <c r="BB102" s="126">
        <v>0.3</v>
      </c>
      <c r="BC102" s="135" t="s">
        <v>1337</v>
      </c>
      <c r="BD102" s="122" t="str">
        <f ca="1">INDIRECT(ADDRESS(MATCH($B102,'【別紙1】標高（入力）'!$B:$B,0),'【別紙1】標高（入力）'!AD$2,4,TRUE,"【別紙1】標高（入力）"))</f>
        <v/>
      </c>
      <c r="BE102" s="122" t="str">
        <f ca="1">INDIRECT(ADDRESS(MATCH($B102,'【別紙1】標高（入力）'!$B:$B,0),'【別紙1】標高（入力）'!AE$2,4,TRUE,"【別紙1】標高（入力）"))</f>
        <v/>
      </c>
      <c r="BF102" s="121">
        <f ca="1">INDIRECT(ADDRESS(MATCH($B102,'【別紙1】標高（入力）'!$B:$B,0),'【別紙1】標高（入力）'!AF$2,4,TRUE,"【別紙1】標高（入力）"))</f>
        <v>0.59999999999149622</v>
      </c>
      <c r="BG102" s="121">
        <f ca="1">INDIRECT(ADDRESS(MATCH($B102,'【別紙1】標高（入力）'!$B:$B,0),'【別紙1】標高（入力）'!AG$2,4,TRUE,"【別紙1】標高（入力）"))</f>
        <v>1.0000000000047748</v>
      </c>
      <c r="BH102" s="126">
        <f ca="1">INDIRECT(ADDRESS(MATCH($B102,'【別紙1】標高（入力）'!$B:$B,0),'【別紙1】標高（入力）'!AH$2,4,TRUE,"【別紙1】標高（入力）"))</f>
        <v>2.3000000000052978</v>
      </c>
      <c r="BI102" s="122"/>
      <c r="BJ102" s="624" t="str">
        <f ca="1">INDIRECT(ADDRESS(MATCH($B102,'【別紙1】標高（入力）'!$B:$B,0),'【別紙1】標高（入力）'!AJ$2,4,TRUE,"【別紙1】標高（入力）"))</f>
        <v/>
      </c>
      <c r="BK102" s="598" t="str">
        <f t="shared" ca="1" si="28"/>
        <v>-</v>
      </c>
      <c r="BL102" s="604">
        <f t="shared" ca="1" si="29"/>
        <v>34.700000000001566</v>
      </c>
      <c r="BM102" s="600" t="str">
        <f ca="1">INDIRECT(ADDRESS(MATCH($B102,'【別紙1】標高（入力）'!$B:$B,0),'【別紙1】標高（入力）'!$N$2,4,TRUE,"【別紙1】標高（入力）"))</f>
        <v>R4</v>
      </c>
      <c r="BN102" s="340">
        <f ca="1">INDIRECT(ADDRESS(MATCH($B102,'【別紙1】標高（入力）'!$B:$B,0),'【別紙1】標高（入力）'!$O$2,4,TRUE,"【別紙1】標高（入力）"))</f>
        <v>82.771199999999993</v>
      </c>
      <c r="BO102" s="392"/>
    </row>
    <row r="103" spans="1:67" s="231" customFormat="1" ht="15.95" customHeight="1">
      <c r="A103" s="214">
        <v>601</v>
      </c>
      <c r="B103" s="215" t="s">
        <v>491</v>
      </c>
      <c r="C103" s="216" t="s">
        <v>180</v>
      </c>
      <c r="D103" s="217" t="s">
        <v>640</v>
      </c>
      <c r="E103" s="218" t="s">
        <v>181</v>
      </c>
      <c r="F103" s="219" t="s">
        <v>9</v>
      </c>
      <c r="G103" s="220" t="s">
        <v>127</v>
      </c>
      <c r="H103" s="220" t="s">
        <v>541</v>
      </c>
      <c r="I103" s="220" t="s">
        <v>141</v>
      </c>
      <c r="J103" s="220" t="s">
        <v>547</v>
      </c>
      <c r="K103" s="224"/>
      <c r="L103" s="228"/>
      <c r="M103" s="228"/>
      <c r="N103" s="228"/>
      <c r="O103" s="228"/>
      <c r="P103" s="228"/>
      <c r="Q103" s="221"/>
      <c r="R103" s="124">
        <v>1.5</v>
      </c>
      <c r="S103" s="136" t="s">
        <v>636</v>
      </c>
      <c r="T103" s="127">
        <v>-0.2</v>
      </c>
      <c r="U103" s="136" t="s">
        <v>1275</v>
      </c>
      <c r="V103" s="122"/>
      <c r="W103" s="122"/>
      <c r="X103" s="122"/>
      <c r="Y103" s="122"/>
      <c r="Z103" s="122"/>
      <c r="AA103" s="122"/>
      <c r="AB103" s="127">
        <v>4</v>
      </c>
      <c r="AC103" s="233" t="s">
        <v>1272</v>
      </c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462"/>
      <c r="BB103" s="228"/>
      <c r="BC103" s="228"/>
      <c r="BD103" s="228"/>
      <c r="BE103" s="228"/>
      <c r="BF103" s="228"/>
      <c r="BG103" s="228"/>
      <c r="BH103" s="228"/>
      <c r="BI103" s="228"/>
      <c r="BJ103" s="570" t="str">
        <f ca="1">INDIRECT(ADDRESS(MATCH($B103,'【別紙1】標高（入力）'!$B:$B,0),'【別紙1】標高（入力）'!AJ$2,4,TRUE,"【別紙1】標高（入力）"))</f>
        <v/>
      </c>
      <c r="BK103" s="599" t="str">
        <f t="shared" si="22"/>
        <v>-</v>
      </c>
      <c r="BL103" s="605">
        <f t="shared" si="23"/>
        <v>5.3</v>
      </c>
      <c r="BM103" s="603" t="s">
        <v>529</v>
      </c>
      <c r="BN103" s="344" t="s">
        <v>529</v>
      </c>
      <c r="BO103" s="393" t="s">
        <v>727</v>
      </c>
    </row>
    <row r="104" spans="1:67" ht="15.95" customHeight="1">
      <c r="A104" s="119">
        <v>602</v>
      </c>
      <c r="B104" s="591">
        <v>7285</v>
      </c>
      <c r="C104" s="114" t="s">
        <v>180</v>
      </c>
      <c r="D104" s="110" t="s">
        <v>647</v>
      </c>
      <c r="E104" s="597" t="s">
        <v>1429</v>
      </c>
      <c r="F104" s="111" t="s">
        <v>12</v>
      </c>
      <c r="G104" s="112" t="s">
        <v>31</v>
      </c>
      <c r="H104" s="112" t="s">
        <v>541</v>
      </c>
      <c r="I104" s="112" t="s">
        <v>284</v>
      </c>
      <c r="J104" s="112" t="s">
        <v>263</v>
      </c>
      <c r="K104" s="224"/>
      <c r="L104" s="228"/>
      <c r="M104" s="228"/>
      <c r="N104" s="228"/>
      <c r="O104" s="228"/>
      <c r="P104" s="221"/>
      <c r="Q104" s="124">
        <v>6.4</v>
      </c>
      <c r="R104" s="124">
        <v>0.4</v>
      </c>
      <c r="S104" s="136" t="s">
        <v>636</v>
      </c>
      <c r="T104" s="127">
        <v>0.7</v>
      </c>
      <c r="U104" s="136" t="s">
        <v>1275</v>
      </c>
      <c r="V104" s="122"/>
      <c r="W104" s="122"/>
      <c r="X104" s="122"/>
      <c r="Y104" s="122"/>
      <c r="Z104" s="122"/>
      <c r="AA104" s="122"/>
      <c r="AB104" s="127">
        <v>0</v>
      </c>
      <c r="AC104" s="136" t="s">
        <v>679</v>
      </c>
      <c r="AD104" s="122"/>
      <c r="AE104" s="122"/>
      <c r="AF104" s="122"/>
      <c r="AG104" s="122"/>
      <c r="AH104" s="122">
        <v>2.2000000000000002</v>
      </c>
      <c r="AI104" s="139" t="s">
        <v>707</v>
      </c>
      <c r="AJ104" s="122"/>
      <c r="AK104" s="122"/>
      <c r="AL104" s="122"/>
      <c r="AM104" s="122"/>
      <c r="AN104" s="122"/>
      <c r="AO104" s="122"/>
      <c r="AP104" s="121">
        <v>11.5</v>
      </c>
      <c r="AQ104" s="135" t="s">
        <v>1072</v>
      </c>
      <c r="AR104" s="122"/>
      <c r="AS104" s="122"/>
      <c r="AT104" s="122"/>
      <c r="AU104" s="122"/>
      <c r="AV104" s="121">
        <v>-2.4</v>
      </c>
      <c r="AW104" s="139" t="s">
        <v>1072</v>
      </c>
      <c r="AX104" s="122"/>
      <c r="AY104" s="122"/>
      <c r="AZ104" s="122"/>
      <c r="BA104" s="460"/>
      <c r="BB104" s="121">
        <v>1.3</v>
      </c>
      <c r="BC104" s="139" t="s">
        <v>1070</v>
      </c>
      <c r="BD104" s="122" t="str">
        <f ca="1">INDIRECT(ADDRESS(MATCH($B104,'【別紙1】標高（入力）'!$B:$B,0),'【別紙1】標高（入力）'!AD$2,4,TRUE,"【別紙1】標高（入力）"))</f>
        <v/>
      </c>
      <c r="BE104" s="122" t="str">
        <f ca="1">INDIRECT(ADDRESS(MATCH($B104,'【別紙1】標高（入力）'!$B:$B,0),'【別紙1】標高（入力）'!AE$2,4,TRUE,"【別紙1】標高（入力）"))</f>
        <v/>
      </c>
      <c r="BF104" s="122" t="str">
        <f ca="1">INDIRECT(ADDRESS(MATCH($B104,'【別紙1】標高（入力）'!$B:$B,0),'【別紙1】標高（入力）'!AF$2,4,TRUE,"【別紙1】標高（入力）"))</f>
        <v/>
      </c>
      <c r="BG104" s="121">
        <f ca="1">INDIRECT(ADDRESS(MATCH($B104,'【別紙1】標高（入力）'!$B:$B,0),'【別紙1】標高（入力）'!AG$2,4,TRUE,"【別紙1】標高（入力）"))</f>
        <v>0.50000000000238742</v>
      </c>
      <c r="BH104" s="125" t="str">
        <f ca="1">INDIRECT(ADDRESS(MATCH($B104,'【別紙1】標高（入力）'!$B:$B,0),'【別紙1】標高（入力）'!AH$2,4,TRUE,"【別紙1】標高（入力）"))</f>
        <v/>
      </c>
      <c r="BI104" s="122"/>
      <c r="BJ104" s="624" t="str">
        <f ca="1">INDIRECT(ADDRESS(MATCH($B104,'【別紙1】標高（入力）'!$B:$B,0),'【別紙1】標高（入力）'!AJ$2,4,TRUE,"【別紙1】標高（入力）"))</f>
        <v/>
      </c>
      <c r="BK104" s="598" t="str">
        <f t="shared" ref="BK104:BK107" ca="1" si="30">IF(AND(ISNUMBER(BI104)*1,ISNUMBER(BH104)*1),BI104,"-")</f>
        <v>-</v>
      </c>
      <c r="BL104" s="604">
        <f t="shared" ref="BL104:BL107" ca="1" si="31">SUM(K104:BI104)</f>
        <v>20.600000000002392</v>
      </c>
      <c r="BM104" s="600" t="str">
        <f ca="1">INDIRECT(ADDRESS(MATCH($B104,'【別紙1】標高（入力）'!$B:$B,0),'【別紙1】標高（入力）'!$N$2,4,TRUE,"【別紙1】標高（入力）"))</f>
        <v>R3</v>
      </c>
      <c r="BN104" s="340">
        <f ca="1">INDIRECT(ADDRESS(MATCH($B104,'【別紙1】標高（入力）'!$B:$B,0),'【別紙1】標高（入力）'!$O$2,4,TRUE,"【別紙1】標高（入力）"))</f>
        <v>94.852800000000002</v>
      </c>
      <c r="BO104" s="392"/>
    </row>
    <row r="105" spans="1:67" ht="15.95" customHeight="1">
      <c r="A105" s="119">
        <v>603</v>
      </c>
      <c r="B105" s="591">
        <v>7286</v>
      </c>
      <c r="C105" s="114" t="s">
        <v>180</v>
      </c>
      <c r="D105" s="110" t="s">
        <v>340</v>
      </c>
      <c r="E105" s="109" t="s">
        <v>185</v>
      </c>
      <c r="F105" s="111" t="s">
        <v>12</v>
      </c>
      <c r="G105" s="112" t="s">
        <v>31</v>
      </c>
      <c r="H105" s="112" t="s">
        <v>541</v>
      </c>
      <c r="I105" s="112" t="s">
        <v>284</v>
      </c>
      <c r="J105" s="112" t="s">
        <v>263</v>
      </c>
      <c r="K105" s="224"/>
      <c r="L105" s="228"/>
      <c r="M105" s="228"/>
      <c r="N105" s="228"/>
      <c r="O105" s="228"/>
      <c r="P105" s="221"/>
      <c r="Q105" s="124">
        <v>6</v>
      </c>
      <c r="R105" s="124">
        <v>-2.7</v>
      </c>
      <c r="S105" s="136" t="s">
        <v>636</v>
      </c>
      <c r="T105" s="127">
        <v>-0.4</v>
      </c>
      <c r="U105" s="136" t="s">
        <v>1275</v>
      </c>
      <c r="V105" s="122"/>
      <c r="W105" s="122"/>
      <c r="X105" s="122"/>
      <c r="Y105" s="122"/>
      <c r="Z105" s="122"/>
      <c r="AA105" s="122"/>
      <c r="AB105" s="127">
        <v>1.4</v>
      </c>
      <c r="AC105" s="136" t="s">
        <v>679</v>
      </c>
      <c r="AD105" s="122"/>
      <c r="AE105" s="122"/>
      <c r="AF105" s="122"/>
      <c r="AG105" s="122"/>
      <c r="AH105" s="122">
        <v>0.1</v>
      </c>
      <c r="AI105" s="139" t="s">
        <v>707</v>
      </c>
      <c r="AJ105" s="122"/>
      <c r="AK105" s="122"/>
      <c r="AL105" s="122"/>
      <c r="AM105" s="122"/>
      <c r="AN105" s="122"/>
      <c r="AO105" s="122"/>
      <c r="AP105" s="121">
        <v>11.3</v>
      </c>
      <c r="AQ105" s="135" t="s">
        <v>1072</v>
      </c>
      <c r="AR105" s="122"/>
      <c r="AS105" s="122"/>
      <c r="AT105" s="122"/>
      <c r="AU105" s="122"/>
      <c r="AV105" s="121">
        <v>-3</v>
      </c>
      <c r="AW105" s="139" t="s">
        <v>1072</v>
      </c>
      <c r="AX105" s="122"/>
      <c r="AY105" s="122"/>
      <c r="AZ105" s="122"/>
      <c r="BA105" s="460"/>
      <c r="BB105" s="121">
        <v>1.6</v>
      </c>
      <c r="BC105" s="139" t="s">
        <v>1070</v>
      </c>
      <c r="BD105" s="122" t="str">
        <f ca="1">INDIRECT(ADDRESS(MATCH($B105,'【別紙1】標高（入力）'!$B:$B,0),'【別紙1】標高（入力）'!AD$2,4,TRUE,"【別紙1】標高（入力）"))</f>
        <v/>
      </c>
      <c r="BE105" s="122" t="str">
        <f ca="1">INDIRECT(ADDRESS(MATCH($B105,'【別紙1】標高（入力）'!$B:$B,0),'【別紙1】標高（入力）'!AE$2,4,TRUE,"【別紙1】標高（入力）"))</f>
        <v/>
      </c>
      <c r="BF105" s="122" t="str">
        <f ca="1">INDIRECT(ADDRESS(MATCH($B105,'【別紙1】標高（入力）'!$B:$B,0),'【別紙1】標高（入力）'!AF$2,4,TRUE,"【別紙1】標高（入力）"))</f>
        <v/>
      </c>
      <c r="BG105" s="121">
        <f ca="1">INDIRECT(ADDRESS(MATCH($B105,'【別紙1】標高（入力）'!$B:$B,0),'【別紙1】標高（入力）'!AG$2,4,TRUE,"【別紙1】標高（入力）"))</f>
        <v>1.300000000000523</v>
      </c>
      <c r="BH105" s="125" t="str">
        <f ca="1">INDIRECT(ADDRESS(MATCH($B105,'【別紙1】標高（入力）'!$B:$B,0),'【別紙1】標高（入力）'!AH$2,4,TRUE,"【別紙1】標高（入力）"))</f>
        <v/>
      </c>
      <c r="BI105" s="122"/>
      <c r="BJ105" s="567" t="str">
        <f ca="1">INDIRECT(ADDRESS(MATCH($B105,'【別紙1】標高（入力）'!$B:$B,0),'【別紙1】標高（入力）'!AJ$2,4,TRUE,"【別紙1】標高（入力）"))</f>
        <v/>
      </c>
      <c r="BK105" s="598" t="str">
        <f t="shared" ca="1" si="30"/>
        <v>-</v>
      </c>
      <c r="BL105" s="604">
        <f t="shared" ca="1" si="31"/>
        <v>15.600000000000522</v>
      </c>
      <c r="BM105" s="600" t="str">
        <f ca="1">INDIRECT(ADDRESS(MATCH($B105,'【別紙1】標高（入力）'!$B:$B,0),'【別紙1】標高（入力）'!$N$2,4,TRUE,"【別紙1】標高（入力）"))</f>
        <v>R3</v>
      </c>
      <c r="BN105" s="340">
        <f ca="1">INDIRECT(ADDRESS(MATCH($B105,'【別紙1】標高（入力）'!$B:$B,0),'【別紙1】標高（入力）'!$O$2,4,TRUE,"【別紙1】標高（入力）"))</f>
        <v>75.858500000000006</v>
      </c>
      <c r="BO105" s="392"/>
    </row>
    <row r="106" spans="1:67" ht="15.95" customHeight="1">
      <c r="A106" s="119">
        <v>701</v>
      </c>
      <c r="B106" s="107" t="s">
        <v>366</v>
      </c>
      <c r="C106" s="114" t="s">
        <v>186</v>
      </c>
      <c r="D106" s="110" t="s">
        <v>701</v>
      </c>
      <c r="E106" s="109" t="s">
        <v>187</v>
      </c>
      <c r="F106" s="111" t="s">
        <v>9</v>
      </c>
      <c r="G106" s="112" t="s">
        <v>19</v>
      </c>
      <c r="H106" s="112" t="s">
        <v>541</v>
      </c>
      <c r="I106" s="112" t="s">
        <v>284</v>
      </c>
      <c r="J106" s="112" t="s">
        <v>263</v>
      </c>
      <c r="K106" s="222"/>
      <c r="L106" s="124">
        <v>11</v>
      </c>
      <c r="M106" s="124">
        <v>8.5</v>
      </c>
      <c r="N106" s="124">
        <v>3.9</v>
      </c>
      <c r="O106" s="136" t="s">
        <v>636</v>
      </c>
      <c r="P106" s="127">
        <v>18</v>
      </c>
      <c r="Q106" s="124">
        <v>10.1</v>
      </c>
      <c r="R106" s="124">
        <v>7.9</v>
      </c>
      <c r="S106" s="124">
        <v>-5.9</v>
      </c>
      <c r="T106" s="124">
        <v>6.6</v>
      </c>
      <c r="U106" s="124">
        <v>4.4000000000000004</v>
      </c>
      <c r="V106" s="124">
        <v>2.4</v>
      </c>
      <c r="W106" s="124">
        <v>5</v>
      </c>
      <c r="X106" s="124">
        <v>1.5</v>
      </c>
      <c r="Y106" s="124">
        <v>-4.8</v>
      </c>
      <c r="Z106" s="124">
        <v>6.4</v>
      </c>
      <c r="AA106" s="124">
        <v>4.3</v>
      </c>
      <c r="AB106" s="124">
        <v>1.6</v>
      </c>
      <c r="AC106" s="124">
        <v>5.7</v>
      </c>
      <c r="AD106" s="124">
        <v>0.7</v>
      </c>
      <c r="AE106" s="124">
        <v>-3.4</v>
      </c>
      <c r="AF106" s="124">
        <v>2.8</v>
      </c>
      <c r="AG106" s="124">
        <v>4.5999999999999996</v>
      </c>
      <c r="AH106" s="123">
        <v>13</v>
      </c>
      <c r="AI106" s="396">
        <v>9</v>
      </c>
      <c r="AJ106" s="124">
        <v>-4.4000000000000004</v>
      </c>
      <c r="AK106" s="124">
        <v>2</v>
      </c>
      <c r="AL106" s="123">
        <v>-0.4</v>
      </c>
      <c r="AM106" s="123">
        <v>3.70000000000026</v>
      </c>
      <c r="AN106" s="128">
        <v>-3.2</v>
      </c>
      <c r="AO106" s="139" t="s">
        <v>637</v>
      </c>
      <c r="AP106" s="121">
        <v>9.1</v>
      </c>
      <c r="AQ106" s="122">
        <v>1.2</v>
      </c>
      <c r="AR106" s="125">
        <v>3.9</v>
      </c>
      <c r="AS106" s="125">
        <v>1.8</v>
      </c>
      <c r="AT106" s="125">
        <v>3.6</v>
      </c>
      <c r="AU106" s="126">
        <v>-0.1</v>
      </c>
      <c r="AV106" s="121">
        <v>-2.1</v>
      </c>
      <c r="AW106" s="122">
        <v>-1.9</v>
      </c>
      <c r="AX106" s="125">
        <v>1.8</v>
      </c>
      <c r="AY106" s="125">
        <v>0.3</v>
      </c>
      <c r="AZ106" s="132">
        <v>0</v>
      </c>
      <c r="BA106" s="464">
        <v>-1.7</v>
      </c>
      <c r="BB106" s="139" t="s">
        <v>1069</v>
      </c>
      <c r="BC106" s="134">
        <v>0.3</v>
      </c>
      <c r="BD106" s="133">
        <f ca="1">INDIRECT(ADDRESS(MATCH($B106,'【別紙1】標高（入力）'!$B:$B,0),'【別紙1】標高（入力）'!AD$2,4,TRUE,"【別紙1】標高（入力）"))</f>
        <v>-0.29999999999930083</v>
      </c>
      <c r="BE106" s="132">
        <f ca="1">INDIRECT(ADDRESS(MATCH($B106,'【別紙1】標高（入力）'!$B:$B,0),'【別紙1】標高（入力）'!AE$2,4,TRUE,"【別紙1】標高（入力）"))</f>
        <v>3.1999999999996476</v>
      </c>
      <c r="BF106" s="479">
        <f ca="1">INDIRECT(ADDRESS(MATCH($B106,'【別紙1】標高（入力）'!$B:$B,0),'【別紙1】標高（入力）'!AF$2,4,TRUE,"【別紙1】標高（入力）"))</f>
        <v>-1.900000000000901</v>
      </c>
      <c r="BG106" s="139" t="s">
        <v>1073</v>
      </c>
      <c r="BH106" s="479">
        <f ca="1">INDIRECT(ADDRESS(MATCH($B106,'【別紙1】標高（入力）'!$B:$B,0),'【別紙1】標高（入力）'!AH$2,4,TRUE,"【別紙1】標高（入力）"))</f>
        <v>2.9000000000003467</v>
      </c>
      <c r="BI106" s="132">
        <f ca="1">INDIRECT(ADDRESS(MATCH($B106,'【別紙1】標高（入力）'!$B:$B,0),'【別紙1】標高（入力）'!AI$2,4,TRUE,"【別紙1】標高（入力）"))</f>
        <v>2.2999999999999687</v>
      </c>
      <c r="BJ106" s="661" t="str">
        <f ca="1">INDIRECT(ADDRESS(MATCH($B106,'【別紙1】標高（入力）'!$B:$B,0),'【別紙1】標高（入力）'!AJ$2,4,TRUE,"【別紙1】標高（入力）"))</f>
        <v/>
      </c>
      <c r="BK106" s="598">
        <f t="shared" ca="1" si="30"/>
        <v>2.2999999999999687</v>
      </c>
      <c r="BL106" s="604">
        <f t="shared" ca="1" si="31"/>
        <v>133.40000000000003</v>
      </c>
      <c r="BM106" s="600" t="str">
        <f ca="1">INDIRECT(ADDRESS(MATCH($B106,'【別紙1】標高（入力）'!$B:$B,0),'【別紙1】標高（入力）'!$N$2,4,TRUE,"【別紙1】標高（入力）"))</f>
        <v>R5</v>
      </c>
      <c r="BN106" s="342">
        <f ca="1">INDIRECT(ADDRESS(MATCH($B106,'【別紙1】標高（入力）'!$B:$B,0),'【別紙1】標高（入力）'!$O$2,4,TRUE,"【別紙1】標高（入力）"))</f>
        <v>10.551</v>
      </c>
      <c r="BO106" s="392"/>
    </row>
    <row r="107" spans="1:67" ht="15.95" customHeight="1">
      <c r="A107" s="119">
        <v>702</v>
      </c>
      <c r="B107" s="107" t="s">
        <v>364</v>
      </c>
      <c r="C107" s="114" t="s">
        <v>186</v>
      </c>
      <c r="D107" s="110" t="s">
        <v>561</v>
      </c>
      <c r="E107" s="109" t="s">
        <v>1430</v>
      </c>
      <c r="F107" s="111" t="s">
        <v>9</v>
      </c>
      <c r="G107" s="112" t="s">
        <v>19</v>
      </c>
      <c r="H107" s="112" t="s">
        <v>541</v>
      </c>
      <c r="I107" s="112" t="s">
        <v>54</v>
      </c>
      <c r="J107" s="112" t="s">
        <v>264</v>
      </c>
      <c r="K107" s="222"/>
      <c r="L107" s="124">
        <v>6.5</v>
      </c>
      <c r="M107" s="124">
        <v>5.6</v>
      </c>
      <c r="N107" s="124">
        <v>1.6</v>
      </c>
      <c r="O107" s="136" t="s">
        <v>636</v>
      </c>
      <c r="P107" s="127">
        <v>27.6</v>
      </c>
      <c r="Q107" s="124">
        <v>8</v>
      </c>
      <c r="R107" s="124">
        <v>5.8</v>
      </c>
      <c r="S107" s="124">
        <v>-9.6</v>
      </c>
      <c r="T107" s="124">
        <v>11.1</v>
      </c>
      <c r="U107" s="124">
        <v>5</v>
      </c>
      <c r="V107" s="124">
        <v>10.1</v>
      </c>
      <c r="W107" s="124">
        <v>4.3</v>
      </c>
      <c r="X107" s="124">
        <v>2.4</v>
      </c>
      <c r="Y107" s="124">
        <v>-3.9</v>
      </c>
      <c r="Z107" s="124">
        <v>4.7</v>
      </c>
      <c r="AA107" s="124">
        <v>6.2</v>
      </c>
      <c r="AB107" s="124">
        <v>-3.7</v>
      </c>
      <c r="AC107" s="124">
        <v>8.9</v>
      </c>
      <c r="AD107" s="124">
        <v>-1.3</v>
      </c>
      <c r="AE107" s="124">
        <v>-1.5</v>
      </c>
      <c r="AF107" s="124">
        <v>2</v>
      </c>
      <c r="AG107" s="124">
        <v>4.0999999999999996</v>
      </c>
      <c r="AH107" s="123">
        <v>1.8</v>
      </c>
      <c r="AI107" s="396">
        <v>5.7</v>
      </c>
      <c r="AJ107" s="124">
        <v>5.7</v>
      </c>
      <c r="AK107" s="124">
        <v>10.4</v>
      </c>
      <c r="AL107" s="123">
        <v>0.6</v>
      </c>
      <c r="AM107" s="123">
        <v>3.9999999999995599</v>
      </c>
      <c r="AN107" s="128">
        <v>-3.7</v>
      </c>
      <c r="AO107" s="122">
        <v>4</v>
      </c>
      <c r="AP107" s="126">
        <v>9.6</v>
      </c>
      <c r="AQ107" s="122">
        <v>2</v>
      </c>
      <c r="AR107" s="125">
        <v>6.9</v>
      </c>
      <c r="AS107" s="125">
        <v>-1.2</v>
      </c>
      <c r="AT107" s="125">
        <v>3.5</v>
      </c>
      <c r="AU107" s="126">
        <v>-0.1</v>
      </c>
      <c r="AV107" s="121">
        <v>-2.2000000000000002</v>
      </c>
      <c r="AW107" s="125">
        <v>1</v>
      </c>
      <c r="AX107" s="125">
        <v>2.5</v>
      </c>
      <c r="AY107" s="125">
        <v>-0.9</v>
      </c>
      <c r="AZ107" s="132">
        <v>2.2000000000000002</v>
      </c>
      <c r="BA107" s="464">
        <v>-4.9000000000000004</v>
      </c>
      <c r="BB107" s="132">
        <v>0.4</v>
      </c>
      <c r="BC107" s="134">
        <v>0.2</v>
      </c>
      <c r="BD107" s="133">
        <f ca="1">INDIRECT(ADDRESS(MATCH($B107,'【別紙1】標高（入力）'!$B:$B,0),'【別紙1】標高（入力）'!AD$2,4,TRUE,"【別紙1】標高（入力）"))</f>
        <v>-0.39999999999995595</v>
      </c>
      <c r="BE107" s="132">
        <f ca="1">INDIRECT(ADDRESS(MATCH($B107,'【別紙1】標高（入力）'!$B:$B,0),'【別紙1】標高（入力）'!AE$2,4,TRUE,"【別紙1】標高（入力）"))</f>
        <v>0.19999999999953388</v>
      </c>
      <c r="BF107" s="479">
        <f ca="1">INDIRECT(ADDRESS(MATCH($B107,'【別紙1】標高（入力）'!$B:$B,0),'【別紙1】標高（入力）'!AF$2,4,TRUE,"【別紙1】標高（入力）"))</f>
        <v>0.39999999999995595</v>
      </c>
      <c r="BG107" s="479">
        <f ca="1">INDIRECT(ADDRESS(MATCH($B107,'【別紙1】標高（入力）'!$B:$B,0),'【別紙1】標高（入力）'!AG$2,4,TRUE,"【別紙1】標高（入力）"))</f>
        <v>5.3999999999998494</v>
      </c>
      <c r="BH107" s="132">
        <f ca="1">INDIRECT(ADDRESS(MATCH($B107,'【別紙1】標高（入力）'!$B:$B,0),'【別紙1】標高（入力）'!AH$2,4,TRUE,"【別紙1】標高（入力）"))</f>
        <v>-1.2999999999996348</v>
      </c>
      <c r="BI107" s="132">
        <f ca="1">INDIRECT(ADDRESS(MATCH($B107,'【別紙1】標高（入力）'!$B:$B,0),'【別紙1】標高（入力）'!AI$2,4,TRUE,"【別紙1】標高（入力）"))</f>
        <v>2.9000000000003467</v>
      </c>
      <c r="BJ107" s="661" t="str">
        <f ca="1">INDIRECT(ADDRESS(MATCH($B107,'【別紙1】標高（入力）'!$B:$B,0),'【別紙1】標高（入力）'!AJ$2,4,TRUE,"【別紙1】標高（入力）"))</f>
        <v/>
      </c>
      <c r="BK107" s="598">
        <f t="shared" ca="1" si="30"/>
        <v>2.9000000000003467</v>
      </c>
      <c r="BL107" s="604">
        <f t="shared" ca="1" si="31"/>
        <v>148.59999999999962</v>
      </c>
      <c r="BM107" s="600" t="str">
        <f ca="1">INDIRECT(ADDRESS(MATCH($B107,'【別紙1】標高（入力）'!$B:$B,0),'【別紙1】標高（入力）'!$N$2,4,TRUE,"【別紙1】標高（入力）"))</f>
        <v>R5</v>
      </c>
      <c r="BN107" s="342">
        <f ca="1">INDIRECT(ADDRESS(MATCH($B107,'【別紙1】標高（入力）'!$B:$B,0),'【別紙1】標高（入力）'!$O$2,4,TRUE,"【別紙1】標高（入力）"))</f>
        <v>6.31</v>
      </c>
      <c r="BO107" s="392" t="s">
        <v>283</v>
      </c>
    </row>
    <row r="108" spans="1:67" s="231" customFormat="1" ht="15.95" customHeight="1">
      <c r="A108" s="214">
        <v>703</v>
      </c>
      <c r="B108" s="595">
        <v>7406</v>
      </c>
      <c r="C108" s="216" t="s">
        <v>186</v>
      </c>
      <c r="D108" s="217" t="s">
        <v>671</v>
      </c>
      <c r="E108" s="218" t="s">
        <v>299</v>
      </c>
      <c r="F108" s="219" t="s">
        <v>12</v>
      </c>
      <c r="G108" s="220" t="s">
        <v>19</v>
      </c>
      <c r="H108" s="220" t="s">
        <v>541</v>
      </c>
      <c r="I108" s="220" t="s">
        <v>539</v>
      </c>
      <c r="J108" s="220" t="s">
        <v>263</v>
      </c>
      <c r="K108" s="222"/>
      <c r="L108" s="124">
        <v>2.2000000000000002</v>
      </c>
      <c r="M108" s="124">
        <v>4</v>
      </c>
      <c r="N108" s="124">
        <v>-3.2</v>
      </c>
      <c r="O108" s="124">
        <v>6.6</v>
      </c>
      <c r="P108" s="124">
        <v>1.1000000000000001</v>
      </c>
      <c r="Q108" s="124">
        <v>0.9</v>
      </c>
      <c r="R108" s="124">
        <v>3</v>
      </c>
      <c r="S108" s="124">
        <v>-3.9</v>
      </c>
      <c r="T108" s="124">
        <v>2.5</v>
      </c>
      <c r="U108" s="124">
        <v>-0.5</v>
      </c>
      <c r="V108" s="124">
        <v>3.2</v>
      </c>
      <c r="W108" s="124">
        <v>1.2</v>
      </c>
      <c r="X108" s="124">
        <v>0</v>
      </c>
      <c r="Y108" s="124">
        <v>-4.5999999999999996</v>
      </c>
      <c r="Z108" s="124">
        <v>5.2</v>
      </c>
      <c r="AA108" s="124">
        <v>1.7</v>
      </c>
      <c r="AB108" s="124">
        <v>0</v>
      </c>
      <c r="AC108" s="124">
        <v>2.4</v>
      </c>
      <c r="AD108" s="124">
        <v>-1.2</v>
      </c>
      <c r="AE108" s="124">
        <v>-2.1</v>
      </c>
      <c r="AF108" s="124">
        <v>0.8</v>
      </c>
      <c r="AG108" s="124">
        <v>1.4</v>
      </c>
      <c r="AH108" s="123">
        <v>1.9</v>
      </c>
      <c r="AI108" s="227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462"/>
      <c r="BB108" s="228"/>
      <c r="BC108" s="228"/>
      <c r="BD108" s="228"/>
      <c r="BE108" s="228"/>
      <c r="BF108" s="228"/>
      <c r="BG108" s="229"/>
      <c r="BH108" s="225"/>
      <c r="BI108" s="228"/>
      <c r="BJ108" s="625" t="str">
        <f ca="1">INDIRECT(ADDRESS(MATCH($B108,'【別紙1】標高（入力）'!$B:$B,0),'【別紙1】標高（入力）'!AJ$2,4,TRUE,"【別紙1】標高（入力）"))</f>
        <v/>
      </c>
      <c r="BK108" s="599" t="str">
        <f t="shared" si="22"/>
        <v>-</v>
      </c>
      <c r="BL108" s="605">
        <f t="shared" si="23"/>
        <v>22.599999999999994</v>
      </c>
      <c r="BM108" s="603" t="s">
        <v>529</v>
      </c>
      <c r="BN108" s="344" t="s">
        <v>529</v>
      </c>
      <c r="BO108" s="393" t="s">
        <v>728</v>
      </c>
    </row>
    <row r="109" spans="1:67" ht="15.95" customHeight="1">
      <c r="A109" s="119">
        <v>704</v>
      </c>
      <c r="B109" s="591">
        <v>7407</v>
      </c>
      <c r="C109" s="114" t="s">
        <v>186</v>
      </c>
      <c r="D109" s="110" t="s">
        <v>648</v>
      </c>
      <c r="E109" s="597" t="s">
        <v>1431</v>
      </c>
      <c r="F109" s="111" t="s">
        <v>12</v>
      </c>
      <c r="G109" s="112" t="s">
        <v>19</v>
      </c>
      <c r="H109" s="112" t="s">
        <v>541</v>
      </c>
      <c r="I109" s="112" t="s">
        <v>284</v>
      </c>
      <c r="J109" s="112" t="s">
        <v>263</v>
      </c>
      <c r="K109" s="222"/>
      <c r="L109" s="124">
        <v>9.9</v>
      </c>
      <c r="M109" s="124">
        <v>1.5</v>
      </c>
      <c r="N109" s="124">
        <v>-0.1</v>
      </c>
      <c r="O109" s="124">
        <v>0.8</v>
      </c>
      <c r="P109" s="124">
        <v>4.0999999999999996</v>
      </c>
      <c r="Q109" s="124">
        <v>0.8</v>
      </c>
      <c r="R109" s="124">
        <v>2.2999999999999998</v>
      </c>
      <c r="S109" s="124">
        <v>-3.7</v>
      </c>
      <c r="T109" s="124">
        <v>2.2999999999999998</v>
      </c>
      <c r="U109" s="124">
        <v>-0.2</v>
      </c>
      <c r="V109" s="124">
        <v>-0.3</v>
      </c>
      <c r="W109" s="124">
        <v>1.3</v>
      </c>
      <c r="X109" s="124">
        <v>1.2</v>
      </c>
      <c r="Y109" s="124">
        <v>-1.8</v>
      </c>
      <c r="Z109" s="124">
        <v>3.4</v>
      </c>
      <c r="AA109" s="124">
        <v>-1.7</v>
      </c>
      <c r="AB109" s="124">
        <v>0.8</v>
      </c>
      <c r="AC109" s="124">
        <v>1.5</v>
      </c>
      <c r="AD109" s="124">
        <v>-0.5</v>
      </c>
      <c r="AE109" s="124">
        <v>2</v>
      </c>
      <c r="AF109" s="124">
        <v>-0.1</v>
      </c>
      <c r="AG109" s="124">
        <v>0.3</v>
      </c>
      <c r="AH109" s="123">
        <v>2</v>
      </c>
      <c r="AI109" s="396">
        <v>2.5</v>
      </c>
      <c r="AJ109" s="124">
        <v>-2.5</v>
      </c>
      <c r="AK109" s="124">
        <v>2</v>
      </c>
      <c r="AL109" s="123">
        <v>-0.3</v>
      </c>
      <c r="AM109" s="123">
        <v>1.1999999999972</v>
      </c>
      <c r="AN109" s="128">
        <v>-1.1000000000000001</v>
      </c>
      <c r="AO109" s="122">
        <v>1.3</v>
      </c>
      <c r="AP109" s="126">
        <v>1.9</v>
      </c>
      <c r="AQ109" s="122">
        <v>1.6</v>
      </c>
      <c r="AR109" s="125">
        <v>1.9</v>
      </c>
      <c r="AS109" s="125">
        <v>-2.6</v>
      </c>
      <c r="AT109" s="125">
        <v>2.1</v>
      </c>
      <c r="AU109" s="126">
        <v>-2.8</v>
      </c>
      <c r="AV109" s="121">
        <v>0.2</v>
      </c>
      <c r="AW109" s="125">
        <v>-0.4</v>
      </c>
      <c r="AX109" s="125">
        <v>0.7</v>
      </c>
      <c r="AY109" s="125">
        <v>-1.2</v>
      </c>
      <c r="AZ109" s="132">
        <v>1.2</v>
      </c>
      <c r="BA109" s="464">
        <v>1</v>
      </c>
      <c r="BB109" s="132">
        <v>-0.5</v>
      </c>
      <c r="BC109" s="134">
        <v>0</v>
      </c>
      <c r="BD109" s="133">
        <f ca="1">INDIRECT(ADDRESS(MATCH($B109,'【別紙1】標高（入力）'!$B:$B,0),'【別紙1】標高（入力）'!AD$2,4,TRUE,"【別紙1】標高（入力）"))</f>
        <v>-0.39999999999906777</v>
      </c>
      <c r="BE109" s="132">
        <f ca="1">INDIRECT(ADDRESS(MATCH($B109,'【別紙1】標高（入力）'!$B:$B,0),'【別紙1】標高（入力）'!AE$2,4,TRUE,"【別紙1】標高（入力）"))</f>
        <v>0.89999999999434976</v>
      </c>
      <c r="BF109" s="479">
        <f ca="1">INDIRECT(ADDRESS(MATCH($B109,'【別紙1】標高（入力）'!$B:$B,0),'【別紙1】標高（入力）'!AF$2,4,TRUE,"【別紙1】標高（入力）"))</f>
        <v>0.30000000000285354</v>
      </c>
      <c r="BG109" s="479">
        <f ca="1">INDIRECT(ADDRESS(MATCH($B109,'【別紙1】標高（入力）'!$B:$B,0),'【別紙1】標高（入力）'!AG$2,4,TRUE,"【別紙1】標高（入力）"))</f>
        <v>-0.10000000000331966</v>
      </c>
      <c r="BH109" s="132">
        <f ca="1">INDIRECT(ADDRESS(MATCH($B109,'【別紙1】標高（入力）'!$B:$B,0),'【別紙1】標高（入力）'!AH$2,4,TRUE,"【別紙1】標高（入力）"))</f>
        <v>-0.499999999995282</v>
      </c>
      <c r="BI109" s="132">
        <f ca="1">INDIRECT(ADDRESS(MATCH($B109,'【別紙1】標高（入力）'!$B:$B,0),'【別紙1】標高（入力）'!AI$2,4,TRUE,"【別紙1】標高（入力）"))</f>
        <v>0.29999999999574811</v>
      </c>
      <c r="BJ109" s="631">
        <f ca="1">INDIRECT(ADDRESS(MATCH($B109,'【別紙1】標高（入力）'!$B:$B,0),'【別紙1】標高（入力）'!AJ$2,4,TRUE,"【別紙1】標高（入力）"))</f>
        <v>1.0000000000047748</v>
      </c>
      <c r="BK109" s="598">
        <f t="shared" ref="BK109:BK145" ca="1" si="32">IF(AND(ISNUMBER(BI109)*1,ISNUMBER(BH109)*1),BI109,"-")</f>
        <v>0.29999999999574811</v>
      </c>
      <c r="BL109" s="604">
        <f t="shared" ref="BL109:BL115" ca="1" si="33">SUM(K109:BI109)</f>
        <v>32.499999999992482</v>
      </c>
      <c r="BM109" s="600" t="str">
        <f ca="1">INDIRECT(ADDRESS(MATCH($B109,'【別紙1】標高（入力）'!$B:$B,0),'【別紙1】標高（入力）'!$N$2,4,TRUE,"【別紙1】標高（入力）"))</f>
        <v>R5</v>
      </c>
      <c r="BN109" s="342">
        <f ca="1">INDIRECT(ADDRESS(MATCH($B109,'【別紙1】標高（入力）'!$B:$B,0),'【別紙1】標高（入力）'!$O$2,4,TRUE,"【別紙1】標高（入力）"))</f>
        <v>33.664900000000003</v>
      </c>
      <c r="BO109" s="392"/>
    </row>
    <row r="110" spans="1:67" ht="15.95" customHeight="1">
      <c r="A110" s="119">
        <v>705</v>
      </c>
      <c r="B110" s="107" t="s">
        <v>393</v>
      </c>
      <c r="C110" s="114" t="s">
        <v>186</v>
      </c>
      <c r="D110" s="110" t="s">
        <v>702</v>
      </c>
      <c r="E110" s="109" t="s">
        <v>190</v>
      </c>
      <c r="F110" s="111" t="s">
        <v>12</v>
      </c>
      <c r="G110" s="112" t="s">
        <v>19</v>
      </c>
      <c r="H110" s="112" t="s">
        <v>541</v>
      </c>
      <c r="I110" s="112" t="s">
        <v>284</v>
      </c>
      <c r="J110" s="112" t="s">
        <v>263</v>
      </c>
      <c r="K110" s="222"/>
      <c r="L110" s="124">
        <v>9.8000000000000007</v>
      </c>
      <c r="M110" s="124">
        <v>-2.2000000000000002</v>
      </c>
      <c r="N110" s="124">
        <v>-2.5</v>
      </c>
      <c r="O110" s="124">
        <v>-0.6</v>
      </c>
      <c r="P110" s="124">
        <v>5.4</v>
      </c>
      <c r="Q110" s="124">
        <v>1</v>
      </c>
      <c r="R110" s="124">
        <v>0.6</v>
      </c>
      <c r="S110" s="124">
        <v>-3.6</v>
      </c>
      <c r="T110" s="124">
        <v>3</v>
      </c>
      <c r="U110" s="124">
        <v>-1.7</v>
      </c>
      <c r="V110" s="124">
        <v>1.6</v>
      </c>
      <c r="W110" s="124">
        <v>3.3</v>
      </c>
      <c r="X110" s="124">
        <v>0.4</v>
      </c>
      <c r="Y110" s="124">
        <v>-1.6</v>
      </c>
      <c r="Z110" s="136" t="s">
        <v>1273</v>
      </c>
      <c r="AA110" s="122"/>
      <c r="AB110" s="127">
        <v>0.6</v>
      </c>
      <c r="AC110" s="124">
        <v>2.2000000000000002</v>
      </c>
      <c r="AD110" s="124">
        <v>-0.9</v>
      </c>
      <c r="AE110" s="124">
        <v>1.1000000000000001</v>
      </c>
      <c r="AF110" s="124">
        <v>0.3</v>
      </c>
      <c r="AG110" s="124">
        <v>0.9</v>
      </c>
      <c r="AH110" s="123">
        <v>1.1000000000000001</v>
      </c>
      <c r="AI110" s="396">
        <v>0.4</v>
      </c>
      <c r="AJ110" s="124">
        <v>-0.7</v>
      </c>
      <c r="AK110" s="124">
        <v>1.7</v>
      </c>
      <c r="AL110" s="123">
        <v>-0.9</v>
      </c>
      <c r="AM110" s="123">
        <v>1.29999999999697</v>
      </c>
      <c r="AN110" s="128">
        <v>-3.3</v>
      </c>
      <c r="AO110" s="122">
        <v>2.1</v>
      </c>
      <c r="AP110" s="126">
        <v>0.8</v>
      </c>
      <c r="AQ110" s="122">
        <v>0.3</v>
      </c>
      <c r="AR110" s="125">
        <v>0.7</v>
      </c>
      <c r="AS110" s="125">
        <v>-0.3</v>
      </c>
      <c r="AT110" s="125">
        <v>3</v>
      </c>
      <c r="AU110" s="126">
        <v>-2.9</v>
      </c>
      <c r="AV110" s="121">
        <v>-0.7</v>
      </c>
      <c r="AW110" s="125">
        <v>-2.1</v>
      </c>
      <c r="AX110" s="125">
        <v>2.7</v>
      </c>
      <c r="AY110" s="125">
        <v>-0.6</v>
      </c>
      <c r="AZ110" s="132">
        <v>-0.3</v>
      </c>
      <c r="BA110" s="464">
        <v>0.2</v>
      </c>
      <c r="BB110" s="132">
        <v>-0.8</v>
      </c>
      <c r="BC110" s="134">
        <v>0.5</v>
      </c>
      <c r="BD110" s="133">
        <f ca="1">INDIRECT(ADDRESS(MATCH($B110,'【別紙1】標高（入力）'!$B:$B,0),'【別紙1】標高（入力）'!AD$2,4,TRUE,"【別紙1】標高（入力）"))</f>
        <v>-1.300000000000523</v>
      </c>
      <c r="BE110" s="132">
        <f ca="1">INDIRECT(ADDRESS(MATCH($B110,'【別紙1】標高（入力）'!$B:$B,0),'【別紙1】標高（入力）'!AE$2,4,TRUE,"【別紙1】標高（入力）"))</f>
        <v>0.90000000000145519</v>
      </c>
      <c r="BF110" s="479">
        <f ca="1">INDIRECT(ADDRESS(MATCH($B110,'【別紙1】標高（入力）'!$B:$B,0),'【別紙1】標高（入力）'!AF$2,4,TRUE,"【別紙1】標高（入力）"))</f>
        <v>0.19999999999953388</v>
      </c>
      <c r="BG110" s="479">
        <f ca="1">INDIRECT(ADDRESS(MATCH($B110,'【別紙1】標高（入力）'!$B:$B,0),'【別紙1】標高（入力）'!AG$2,4,TRUE,"【別紙1】標高（入力）"))</f>
        <v>-0.80000000000168825</v>
      </c>
      <c r="BH110" s="132">
        <f ca="1">INDIRECT(ADDRESS(MATCH($B110,'【別紙1】標高（入力）'!$B:$B,0),'【別紙1】標高（入力）'!AH$2,4,TRUE,"【別紙1】標高（入力）"))</f>
        <v>0.60000000000215437</v>
      </c>
      <c r="BI110" s="132">
        <f ca="1">INDIRECT(ADDRESS(MATCH($B110,'【別紙1】標高（入力）'!$B:$B,0),'【別紙1】標高（入力）'!AI$2,4,TRUE,"【別紙1】標高（入力）"))</f>
        <v>0.49999999999883471</v>
      </c>
      <c r="BJ110" s="661" t="str">
        <f ca="1">INDIRECT(ADDRESS(MATCH($B110,'【別紙1】標高（入力）'!$B:$B,0),'【別紙1】標高（入力）'!AJ$2,4,TRUE,"【別紙1】標高（入力）"))</f>
        <v/>
      </c>
      <c r="BK110" s="598">
        <f t="shared" ca="1" si="32"/>
        <v>0.49999999999883471</v>
      </c>
      <c r="BL110" s="604">
        <f t="shared" ca="1" si="33"/>
        <v>19.399999999996737</v>
      </c>
      <c r="BM110" s="600" t="str">
        <f ca="1">INDIRECT(ADDRESS(MATCH($B110,'【別紙1】標高（入力）'!$B:$B,0),'【別紙1】標高（入力）'!$N$2,4,TRUE,"【別紙1】標高（入力）"))</f>
        <v>R5</v>
      </c>
      <c r="BN110" s="342">
        <f ca="1">INDIRECT(ADDRESS(MATCH($B110,'【別紙1】標高（入力）'!$B:$B,0),'【別紙1】標高（入力）'!$O$2,4,TRUE,"【別紙1】標高（入力）"))</f>
        <v>26.8246</v>
      </c>
      <c r="BO110" s="392"/>
    </row>
    <row r="111" spans="1:67" ht="15.95" customHeight="1">
      <c r="A111" s="119">
        <v>706</v>
      </c>
      <c r="B111" s="107" t="s">
        <v>390</v>
      </c>
      <c r="C111" s="114" t="s">
        <v>186</v>
      </c>
      <c r="D111" s="110" t="s">
        <v>702</v>
      </c>
      <c r="E111" s="109" t="s">
        <v>190</v>
      </c>
      <c r="F111" s="111" t="s">
        <v>9</v>
      </c>
      <c r="G111" s="112" t="s">
        <v>19</v>
      </c>
      <c r="H111" s="112" t="s">
        <v>541</v>
      </c>
      <c r="I111" s="112" t="s">
        <v>284</v>
      </c>
      <c r="J111" s="112" t="s">
        <v>263</v>
      </c>
      <c r="K111" s="222"/>
      <c r="L111" s="136" t="s">
        <v>636</v>
      </c>
      <c r="M111" s="127">
        <v>12.9</v>
      </c>
      <c r="N111" s="124">
        <v>-2.1</v>
      </c>
      <c r="O111" s="124">
        <v>0.1</v>
      </c>
      <c r="P111" s="124">
        <v>6.1</v>
      </c>
      <c r="Q111" s="124">
        <v>1.2</v>
      </c>
      <c r="R111" s="124">
        <v>1.4</v>
      </c>
      <c r="S111" s="124">
        <v>-3.4</v>
      </c>
      <c r="T111" s="124">
        <v>3.5</v>
      </c>
      <c r="U111" s="124">
        <v>-1.7</v>
      </c>
      <c r="V111" s="124">
        <v>2.2999999999999998</v>
      </c>
      <c r="W111" s="124">
        <v>3.7</v>
      </c>
      <c r="X111" s="124">
        <v>1</v>
      </c>
      <c r="Y111" s="124">
        <v>-1.6</v>
      </c>
      <c r="Z111" s="124">
        <v>4</v>
      </c>
      <c r="AA111" s="124">
        <v>-0.8</v>
      </c>
      <c r="AB111" s="124">
        <v>-2.6</v>
      </c>
      <c r="AC111" s="124">
        <v>2.6</v>
      </c>
      <c r="AD111" s="124">
        <v>-0.7</v>
      </c>
      <c r="AE111" s="124">
        <v>1.9</v>
      </c>
      <c r="AF111" s="129" t="s">
        <v>87</v>
      </c>
      <c r="AG111" s="124">
        <v>1.9</v>
      </c>
      <c r="AH111" s="123">
        <v>2.1</v>
      </c>
      <c r="AI111" s="396">
        <v>0.9</v>
      </c>
      <c r="AJ111" s="124">
        <v>0.3</v>
      </c>
      <c r="AK111" s="124">
        <v>2.7</v>
      </c>
      <c r="AL111" s="123">
        <v>-0.2</v>
      </c>
      <c r="AM111" s="123">
        <v>1.6999999999995901</v>
      </c>
      <c r="AN111" s="128">
        <v>-3</v>
      </c>
      <c r="AO111" s="122">
        <v>2.7</v>
      </c>
      <c r="AP111" s="126">
        <v>1.2</v>
      </c>
      <c r="AQ111" s="122">
        <v>0.9</v>
      </c>
      <c r="AR111" s="125">
        <v>1.3</v>
      </c>
      <c r="AS111" s="125">
        <v>-0.1</v>
      </c>
      <c r="AT111" s="139" t="s">
        <v>1071</v>
      </c>
      <c r="AU111" s="122"/>
      <c r="AV111" s="122"/>
      <c r="AW111" s="122">
        <v>-1.3</v>
      </c>
      <c r="AX111" s="125">
        <v>3.8</v>
      </c>
      <c r="AY111" s="125">
        <v>-0.3</v>
      </c>
      <c r="AZ111" s="132">
        <v>0</v>
      </c>
      <c r="BA111" s="464">
        <v>0.4</v>
      </c>
      <c r="BB111" s="132">
        <v>-0.4</v>
      </c>
      <c r="BC111" s="134">
        <v>0.8</v>
      </c>
      <c r="BD111" s="133">
        <f ca="1">INDIRECT(ADDRESS(MATCH($B111,'【別紙1】標高（入力）'!$B:$B,0),'【別紙1】標高（入力）'!AD$2,4,TRUE,"【別紙1】標高（入力）"))</f>
        <v>-0.70000000000192131</v>
      </c>
      <c r="BE111" s="132">
        <f ca="1">INDIRECT(ADDRESS(MATCH($B111,'【別紙1】標高（入力）'!$B:$B,0),'【別紙1】標高（入力）'!AE$2,4,TRUE,"【別紙1】標高（入力）"))</f>
        <v>1.5000000000000568</v>
      </c>
      <c r="BF111" s="479">
        <f ca="1">INDIRECT(ADDRESS(MATCH($B111,'【別紙1】標高（入力）'!$B:$B,0),'【別紙1】標高（入力）'!AF$2,4,TRUE,"【別紙1】標高（入力）"))</f>
        <v>0.80000000000168825</v>
      </c>
      <c r="BG111" s="479">
        <f ca="1">INDIRECT(ADDRESS(MATCH($B111,'【別紙1】標高（入力）'!$B:$B,0),'【別紙1】標高（入力）'!AG$2,4,TRUE,"【別紙1】標高（入力）"))</f>
        <v>-0.10000000000331966</v>
      </c>
      <c r="BH111" s="132">
        <f ca="1">INDIRECT(ADDRESS(MATCH($B111,'【別紙1】標高（入力）'!$B:$B,0),'【別紙1】標高（入力）'!AH$2,4,TRUE,"【別紙1】標高（入力）"))</f>
        <v>1.1000000000009891</v>
      </c>
      <c r="BI111" s="132">
        <f ca="1">INDIRECT(ADDRESS(MATCH($B111,'【別紙1】標高（入力）'!$B:$B,0),'【別紙1】標高（入力）'!AI$2,4,TRUE,"【別紙1】標高（入力）"))</f>
        <v>1.0000000000012221</v>
      </c>
      <c r="BJ111" s="661" t="str">
        <f ca="1">INDIRECT(ADDRESS(MATCH($B111,'【別紙1】標高（入力）'!$B:$B,0),'【別紙1】標高（入力）'!AJ$2,4,TRUE,"【別紙1】標高（入力）"))</f>
        <v/>
      </c>
      <c r="BK111" s="598">
        <f t="shared" ca="1" si="32"/>
        <v>1.0000000000012221</v>
      </c>
      <c r="BL111" s="604">
        <f t="shared" ca="1" si="33"/>
        <v>46.799999999998299</v>
      </c>
      <c r="BM111" s="600" t="str">
        <f ca="1">INDIRECT(ADDRESS(MATCH($B111,'【別紙1】標高（入力）'!$B:$B,0),'【別紙1】標高（入力）'!$N$2,4,TRUE,"【別紙1】標高（入力）"))</f>
        <v>R5</v>
      </c>
      <c r="BN111" s="342">
        <f ca="1">INDIRECT(ADDRESS(MATCH($B111,'【別紙1】標高（入力）'!$B:$B,0),'【別紙1】標高（入力）'!$O$2,4,TRUE,"【別紙1】標高（入力）"))</f>
        <v>26.4819</v>
      </c>
      <c r="BO111" s="392"/>
    </row>
    <row r="112" spans="1:67" ht="15.95" customHeight="1">
      <c r="A112" s="119">
        <v>707</v>
      </c>
      <c r="B112" s="107" t="s">
        <v>386</v>
      </c>
      <c r="C112" s="114" t="s">
        <v>186</v>
      </c>
      <c r="D112" s="110" t="s">
        <v>703</v>
      </c>
      <c r="E112" s="109" t="s">
        <v>192</v>
      </c>
      <c r="F112" s="111" t="s">
        <v>9</v>
      </c>
      <c r="G112" s="112" t="s">
        <v>19</v>
      </c>
      <c r="H112" s="112" t="s">
        <v>541</v>
      </c>
      <c r="I112" s="112" t="s">
        <v>54</v>
      </c>
      <c r="J112" s="112" t="s">
        <v>264</v>
      </c>
      <c r="K112" s="222"/>
      <c r="L112" s="136" t="s">
        <v>636</v>
      </c>
      <c r="M112" s="127">
        <v>121.1</v>
      </c>
      <c r="N112" s="124">
        <v>56.7</v>
      </c>
      <c r="O112" s="124">
        <v>10.199999999999999</v>
      </c>
      <c r="P112" s="124">
        <v>49.7</v>
      </c>
      <c r="Q112" s="124">
        <v>9</v>
      </c>
      <c r="R112" s="124">
        <v>3.2</v>
      </c>
      <c r="S112" s="124">
        <v>-4.4000000000000004</v>
      </c>
      <c r="T112" s="124">
        <v>7.9</v>
      </c>
      <c r="U112" s="124">
        <v>5.6</v>
      </c>
      <c r="V112" s="124">
        <v>19.899999999999999</v>
      </c>
      <c r="W112" s="124">
        <v>10.199999999999999</v>
      </c>
      <c r="X112" s="124">
        <v>1.4</v>
      </c>
      <c r="Y112" s="124">
        <v>-1.6</v>
      </c>
      <c r="Z112" s="124">
        <v>4.7</v>
      </c>
      <c r="AA112" s="124">
        <v>-0.6</v>
      </c>
      <c r="AB112" s="124">
        <v>1.6</v>
      </c>
      <c r="AC112" s="124">
        <v>7.3</v>
      </c>
      <c r="AD112" s="124">
        <v>-0.5</v>
      </c>
      <c r="AE112" s="124">
        <v>1.7</v>
      </c>
      <c r="AF112" s="124">
        <v>0.8</v>
      </c>
      <c r="AG112" s="124">
        <v>3.1</v>
      </c>
      <c r="AH112" s="123">
        <v>-2.2000000000000002</v>
      </c>
      <c r="AI112" s="396">
        <v>6.6</v>
      </c>
      <c r="AJ112" s="124">
        <v>3</v>
      </c>
      <c r="AK112" s="124">
        <v>0.3</v>
      </c>
      <c r="AL112" s="123">
        <v>0</v>
      </c>
      <c r="AM112" s="123">
        <v>0.70000000000192097</v>
      </c>
      <c r="AN112" s="128">
        <v>-4</v>
      </c>
      <c r="AO112" s="122">
        <v>4.5</v>
      </c>
      <c r="AP112" s="139" t="s">
        <v>636</v>
      </c>
      <c r="AQ112" s="122">
        <v>2.6</v>
      </c>
      <c r="AR112" s="125">
        <v>1.1000000000000001</v>
      </c>
      <c r="AS112" s="125">
        <v>1.4</v>
      </c>
      <c r="AT112" s="125">
        <v>1.4</v>
      </c>
      <c r="AU112" s="126">
        <v>-2.5</v>
      </c>
      <c r="AV112" s="121">
        <v>-0.9</v>
      </c>
      <c r="AW112" s="125">
        <v>-1.5</v>
      </c>
      <c r="AX112" s="125">
        <v>3.8</v>
      </c>
      <c r="AY112" s="125">
        <v>-3.8</v>
      </c>
      <c r="AZ112" s="139" t="s">
        <v>1069</v>
      </c>
      <c r="BA112" s="460">
        <v>0.2</v>
      </c>
      <c r="BB112" s="126">
        <v>0.5</v>
      </c>
      <c r="BC112" s="122">
        <v>-0.4</v>
      </c>
      <c r="BD112" s="125">
        <f ca="1">INDIRECT(ADDRESS(MATCH($B112,'【別紙1】標高（入力）'!$B:$B,0),'【別紙1】標高（入力）'!AD$2,4,TRUE,"【別紙1】標高（入力）"))</f>
        <v>1.5999999999998238</v>
      </c>
      <c r="BE112" s="139" t="s">
        <v>1333</v>
      </c>
      <c r="BF112" s="121">
        <f ca="1">INDIRECT(ADDRESS(MATCH($B112,'【別紙1】標高（入力）'!$B:$B,0),'【別紙1】標高（入力）'!AF$2,4,TRUE,"【別紙1】標高（入力）"))</f>
        <v>-1.4000000000002899</v>
      </c>
      <c r="BG112" s="121">
        <f ca="1">INDIRECT(ADDRESS(MATCH($B112,'【別紙1】標高（入力）'!$B:$B,0),'【別紙1】標高（入力）'!AG$2,4,TRUE,"【別紙1】標高（入力）"))</f>
        <v>1.5999999999998238</v>
      </c>
      <c r="BH112" s="125" t="str">
        <f ca="1">INDIRECT(ADDRESS(MATCH($B112,'【別紙1】標高（入力）'!$B:$B,0),'【別紙1】標高（入力）'!AH$2,4,TRUE,"【別紙1】標高（入力）"))</f>
        <v/>
      </c>
      <c r="BI112" s="122"/>
      <c r="BJ112" s="624" t="str">
        <f ca="1">INDIRECT(ADDRESS(MATCH($B112,'【別紙1】標高（入力）'!$B:$B,0),'【別紙1】標高（入力）'!AJ$2,4,TRUE,"【別紙1】標高（入力）"))</f>
        <v/>
      </c>
      <c r="BK112" s="598" t="str">
        <f t="shared" ca="1" si="32"/>
        <v>-</v>
      </c>
      <c r="BL112" s="604">
        <f t="shared" ca="1" si="33"/>
        <v>319.60000000000127</v>
      </c>
      <c r="BM112" s="600" t="str">
        <f ca="1">INDIRECT(ADDRESS(MATCH($B112,'【別紙1】標高（入力）'!$B:$B,0),'【別紙1】標高（入力）'!$N$2,4,TRUE,"【別紙1】標高（入力）"))</f>
        <v>R3</v>
      </c>
      <c r="BN112" s="342">
        <f ca="1">INDIRECT(ADDRESS(MATCH($B112,'【別紙1】標高（入力）'!$B:$B,0),'【別紙1】標高（入力）'!$O$2,4,TRUE,"【別紙1】標高（入力）"))</f>
        <v>9.0615000000000006</v>
      </c>
      <c r="BO112" s="392"/>
    </row>
    <row r="113" spans="1:67" ht="15.95" customHeight="1">
      <c r="A113" s="119">
        <v>708</v>
      </c>
      <c r="B113" s="107" t="s">
        <v>388</v>
      </c>
      <c r="C113" s="114" t="s">
        <v>186</v>
      </c>
      <c r="D113" s="110" t="s">
        <v>562</v>
      </c>
      <c r="E113" s="109" t="s">
        <v>1432</v>
      </c>
      <c r="F113" s="111" t="s">
        <v>9</v>
      </c>
      <c r="G113" s="112" t="s">
        <v>19</v>
      </c>
      <c r="H113" s="112" t="s">
        <v>541</v>
      </c>
      <c r="I113" s="112" t="s">
        <v>539</v>
      </c>
      <c r="J113" s="112" t="s">
        <v>264</v>
      </c>
      <c r="K113" s="222"/>
      <c r="L113" s="136" t="s">
        <v>636</v>
      </c>
      <c r="M113" s="127">
        <v>54.5</v>
      </c>
      <c r="N113" s="124">
        <v>1.8</v>
      </c>
      <c r="O113" s="124">
        <v>1.1000000000000001</v>
      </c>
      <c r="P113" s="124">
        <v>7.8</v>
      </c>
      <c r="Q113" s="124">
        <v>2.6</v>
      </c>
      <c r="R113" s="124">
        <v>2.2000000000000002</v>
      </c>
      <c r="S113" s="124">
        <v>-5.9</v>
      </c>
      <c r="T113" s="124">
        <v>6.1</v>
      </c>
      <c r="U113" s="124">
        <v>-2.1</v>
      </c>
      <c r="V113" s="124">
        <v>9.1</v>
      </c>
      <c r="W113" s="124">
        <v>3.6</v>
      </c>
      <c r="X113" s="124">
        <v>-0.7</v>
      </c>
      <c r="Y113" s="124">
        <v>-0.5</v>
      </c>
      <c r="Z113" s="124">
        <v>3.7</v>
      </c>
      <c r="AA113" s="124">
        <v>-0.7</v>
      </c>
      <c r="AB113" s="124">
        <v>-0.8</v>
      </c>
      <c r="AC113" s="124">
        <v>2.9</v>
      </c>
      <c r="AD113" s="124">
        <v>-0.3</v>
      </c>
      <c r="AE113" s="124">
        <v>0.1</v>
      </c>
      <c r="AF113" s="124">
        <v>0.6</v>
      </c>
      <c r="AG113" s="124">
        <v>2.4</v>
      </c>
      <c r="AH113" s="123">
        <v>5.8</v>
      </c>
      <c r="AI113" s="396">
        <v>5.6</v>
      </c>
      <c r="AJ113" s="124">
        <v>-0.5</v>
      </c>
      <c r="AK113" s="124">
        <v>3.3</v>
      </c>
      <c r="AL113" s="123">
        <v>-0.6</v>
      </c>
      <c r="AM113" s="123">
        <v>0.799999999999912</v>
      </c>
      <c r="AN113" s="128">
        <v>-3.4</v>
      </c>
      <c r="AO113" s="122">
        <v>3.4</v>
      </c>
      <c r="AP113" s="139" t="s">
        <v>636</v>
      </c>
      <c r="AQ113" s="122">
        <v>3.8</v>
      </c>
      <c r="AR113" s="125">
        <v>1.2</v>
      </c>
      <c r="AS113" s="125">
        <v>0.6</v>
      </c>
      <c r="AT113" s="139" t="s">
        <v>1071</v>
      </c>
      <c r="AU113" s="122"/>
      <c r="AV113" s="122"/>
      <c r="AW113" s="121">
        <v>-3.5</v>
      </c>
      <c r="AX113" s="125">
        <v>3.7</v>
      </c>
      <c r="AY113" s="139" t="s">
        <v>1071</v>
      </c>
      <c r="AZ113" s="122"/>
      <c r="BA113" s="460"/>
      <c r="BB113" s="121">
        <v>-3.8</v>
      </c>
      <c r="BC113" s="122">
        <v>0.5</v>
      </c>
      <c r="BD113" s="139" t="s">
        <v>1071</v>
      </c>
      <c r="BE113" s="122" t="str">
        <f ca="1">INDIRECT(ADDRESS(MATCH($B113,'【別紙1】標高（入力）'!$B:$B,0),'【別紙1】標高（入力）'!AE$2,4,TRUE,"【別紙1】標高（入力）"))</f>
        <v/>
      </c>
      <c r="BF113" s="122" t="str">
        <f ca="1">INDIRECT(ADDRESS(MATCH($B113,'【別紙1】標高（入力）'!$B:$B,0),'【別紙1】標高（入力）'!AF$2,4,TRUE,"【別紙1】標高（入力）"))</f>
        <v/>
      </c>
      <c r="BG113" s="121">
        <f ca="1">INDIRECT(ADDRESS(MATCH($B113,'【別紙1】標高（入力）'!$B:$B,0),'【別紙1】標高（入力）'!AG$2,4,TRUE,"【別紙1】標高（入力）"))</f>
        <v>1.5000000000000568</v>
      </c>
      <c r="BH113" s="125" t="str">
        <f ca="1">INDIRECT(ADDRESS(MATCH($B113,'【別紙1】標高（入力）'!$B:$B,0),'【別紙1】標高（入力）'!AH$2,4,TRUE,"【別紙1】標高（入力）"))</f>
        <v/>
      </c>
      <c r="BI113" s="122"/>
      <c r="BJ113" s="624" t="str">
        <f ca="1">INDIRECT(ADDRESS(MATCH($B113,'【別紙1】標高（入力）'!$B:$B,0),'【別紙1】標高（入力）'!AJ$2,4,TRUE,"【別紙1】標高（入力）"))</f>
        <v/>
      </c>
      <c r="BK113" s="598" t="str">
        <f t="shared" ca="1" si="32"/>
        <v>-</v>
      </c>
      <c r="BL113" s="604">
        <f t="shared" ca="1" si="33"/>
        <v>105.89999999999995</v>
      </c>
      <c r="BM113" s="600" t="str">
        <f ca="1">INDIRECT(ADDRESS(MATCH($B113,'【別紙1】標高（入力）'!$B:$B,0),'【別紙1】標高（入力）'!$N$2,4,TRUE,"【別紙1】標高（入力）"))</f>
        <v>R3</v>
      </c>
      <c r="BN113" s="342">
        <f ca="1">INDIRECT(ADDRESS(MATCH($B113,'【別紙1】標高（入力）'!$B:$B,0),'【別紙1】標高（入力）'!$O$2,4,TRUE,"【別紙1】標高（入力）"))</f>
        <v>12.725199999999999</v>
      </c>
      <c r="BO113" s="392"/>
    </row>
    <row r="114" spans="1:67" ht="15.95" customHeight="1">
      <c r="A114" s="119">
        <v>709</v>
      </c>
      <c r="B114" s="591">
        <v>7408</v>
      </c>
      <c r="C114" s="114" t="s">
        <v>186</v>
      </c>
      <c r="D114" s="110" t="s">
        <v>575</v>
      </c>
      <c r="E114" s="109" t="s">
        <v>195</v>
      </c>
      <c r="F114" s="111" t="s">
        <v>12</v>
      </c>
      <c r="G114" s="112" t="s">
        <v>19</v>
      </c>
      <c r="H114" s="112" t="s">
        <v>541</v>
      </c>
      <c r="I114" s="112" t="s">
        <v>284</v>
      </c>
      <c r="J114" s="112" t="s">
        <v>263</v>
      </c>
      <c r="K114" s="222"/>
      <c r="L114" s="124">
        <v>26.4</v>
      </c>
      <c r="M114" s="124">
        <v>-4.5999999999999996</v>
      </c>
      <c r="N114" s="124">
        <v>-4.0999999999999996</v>
      </c>
      <c r="O114" s="136" t="s">
        <v>636</v>
      </c>
      <c r="P114" s="127">
        <v>7.5</v>
      </c>
      <c r="Q114" s="124">
        <v>-0.2</v>
      </c>
      <c r="R114" s="124">
        <v>2.5</v>
      </c>
      <c r="S114" s="124">
        <v>-4.4000000000000004</v>
      </c>
      <c r="T114" s="124">
        <v>3.2</v>
      </c>
      <c r="U114" s="124">
        <v>-1.6</v>
      </c>
      <c r="V114" s="124">
        <v>1.8</v>
      </c>
      <c r="W114" s="124">
        <v>5.7</v>
      </c>
      <c r="X114" s="124">
        <v>-0.9</v>
      </c>
      <c r="Y114" s="136" t="s">
        <v>652</v>
      </c>
      <c r="Z114" s="122"/>
      <c r="AA114" s="122"/>
      <c r="AB114" s="127">
        <v>2.2000000000000002</v>
      </c>
      <c r="AC114" s="136" t="s">
        <v>1273</v>
      </c>
      <c r="AD114" s="122"/>
      <c r="AE114" s="127">
        <v>3</v>
      </c>
      <c r="AF114" s="136" t="s">
        <v>1274</v>
      </c>
      <c r="AG114" s="122"/>
      <c r="AH114" s="122">
        <v>1.9</v>
      </c>
      <c r="AI114" s="139" t="s">
        <v>707</v>
      </c>
      <c r="AJ114" s="122"/>
      <c r="AK114" s="122"/>
      <c r="AL114" s="122"/>
      <c r="AM114" s="122"/>
      <c r="AN114" s="122"/>
      <c r="AO114" s="122"/>
      <c r="AP114" s="121">
        <v>3.3</v>
      </c>
      <c r="AQ114" s="139" t="s">
        <v>1071</v>
      </c>
      <c r="AR114" s="122"/>
      <c r="AS114" s="122"/>
      <c r="AT114" s="122">
        <v>4</v>
      </c>
      <c r="AU114" s="126">
        <v>-3.3</v>
      </c>
      <c r="AV114" s="121">
        <v>-1</v>
      </c>
      <c r="AW114" s="125">
        <v>-2.2000000000000002</v>
      </c>
      <c r="AX114" s="125">
        <v>3.3</v>
      </c>
      <c r="AY114" s="125">
        <v>-0.1</v>
      </c>
      <c r="AZ114" s="132">
        <v>-1</v>
      </c>
      <c r="BA114" s="464">
        <v>0.2</v>
      </c>
      <c r="BB114" s="132">
        <v>-0.8</v>
      </c>
      <c r="BC114" s="139" t="s">
        <v>1069</v>
      </c>
      <c r="BD114" s="134">
        <f ca="1">INDIRECT(ADDRESS(MATCH($B114,'【別紙1】標高（入力）'!$B:$B,0),'【別紙1】標高（入力）'!AD$2,4,TRUE,"【別紙1】標高（入力）"))</f>
        <v>-0.19999999999953388</v>
      </c>
      <c r="BE114" s="132">
        <f ca="1">INDIRECT(ADDRESS(MATCH($B114,'【別紙1】標高（入力）'!$B:$B,0),'【別紙1】標高（入力）'!AE$2,4,TRUE,"【別紙1】標高（入力）"))</f>
        <v>1.4000000000002899</v>
      </c>
      <c r="BF114" s="479">
        <f ca="1">INDIRECT(ADDRESS(MATCH($B114,'【別紙1】標高（入力）'!$B:$B,0),'【別紙1】標高（入力）'!AF$2,4,TRUE,"【別紙1】標高（入力）"))</f>
        <v>0.59999999999860165</v>
      </c>
      <c r="BG114" s="479">
        <f ca="1">INDIRECT(ADDRESS(MATCH($B114,'【別紙1】標高（入力）'!$B:$B,0),'【別紙1】標高（入力）'!AG$2,4,TRUE,"【別紙1】標高（入力）"))</f>
        <v>-0.49999999999883471</v>
      </c>
      <c r="BH114" s="132">
        <f ca="1">INDIRECT(ADDRESS(MATCH($B114,'【別紙1】標高（入力）'!$B:$B,0),'【別紙1】標高（入力）'!AH$2,4,TRUE,"【別紙1】標高（入力）"))</f>
        <v>0.29999999999930083</v>
      </c>
      <c r="BI114" s="132">
        <f ca="1">INDIRECT(ADDRESS(MATCH($B114,'【別紙1】標高（入力）'!$B:$B,0),'【別紙1】標高（入力）'!AI$2,4,TRUE,"【別紙1】標高（入力）"))</f>
        <v>9.9999999999766942E-2</v>
      </c>
      <c r="BJ114" s="631">
        <f ca="1">INDIRECT(ADDRESS(MATCH($B114,'【別紙1】標高（入力）'!$B:$B,0),'【別紙1】標高（入力）'!AJ$2,4,TRUE,"【別紙1】標高（入力）"))</f>
        <v>1.0000000000012221</v>
      </c>
      <c r="BK114" s="598">
        <f t="shared" ca="1" si="32"/>
        <v>9.9999999999766942E-2</v>
      </c>
      <c r="BL114" s="604">
        <f t="shared" ca="1" si="33"/>
        <v>42.499999999999588</v>
      </c>
      <c r="BM114" s="600" t="str">
        <f ca="1">INDIRECT(ADDRESS(MATCH($B114,'【別紙1】標高（入力）'!$B:$B,0),'【別紙1】標高（入力）'!$N$2,4,TRUE,"【別紙1】標高（入力）"))</f>
        <v>R5</v>
      </c>
      <c r="BN114" s="340">
        <f ca="1">INDIRECT(ADDRESS(MATCH($B114,'【別紙1】標高（入力）'!$B:$B,0),'【別紙1】標高（入力）'!$O$2,4,TRUE,"【別紙1】標高（入力）"))</f>
        <v>23.647600000000001</v>
      </c>
      <c r="BO114" s="392"/>
    </row>
    <row r="115" spans="1:67" ht="15.95" customHeight="1">
      <c r="A115" s="119">
        <v>710</v>
      </c>
      <c r="B115" s="107" t="s">
        <v>350</v>
      </c>
      <c r="C115" s="114" t="s">
        <v>285</v>
      </c>
      <c r="D115" s="110" t="s">
        <v>672</v>
      </c>
      <c r="E115" s="109" t="s">
        <v>254</v>
      </c>
      <c r="F115" s="111" t="s">
        <v>287</v>
      </c>
      <c r="G115" s="112" t="s">
        <v>255</v>
      </c>
      <c r="H115" s="112" t="s">
        <v>542</v>
      </c>
      <c r="I115" s="112" t="s">
        <v>539</v>
      </c>
      <c r="J115" s="112" t="s">
        <v>263</v>
      </c>
      <c r="K115" s="224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9"/>
      <c r="AI115" s="138" t="s">
        <v>289</v>
      </c>
      <c r="AJ115" s="135" t="s">
        <v>256</v>
      </c>
      <c r="AK115" s="124">
        <v>0.3</v>
      </c>
      <c r="AL115" s="124">
        <v>-1.8</v>
      </c>
      <c r="AM115" s="124">
        <v>2.9400000000006101</v>
      </c>
      <c r="AN115" s="128">
        <v>-2.9</v>
      </c>
      <c r="AO115" s="122">
        <v>1.3</v>
      </c>
      <c r="AP115" s="126">
        <v>1.6</v>
      </c>
      <c r="AQ115" s="125">
        <v>1.5</v>
      </c>
      <c r="AR115" s="125">
        <v>1.1000000000000001</v>
      </c>
      <c r="AS115" s="125">
        <v>0.8</v>
      </c>
      <c r="AT115" s="139" t="s">
        <v>1071</v>
      </c>
      <c r="AU115" s="122"/>
      <c r="AV115" s="122"/>
      <c r="AW115" s="122">
        <v>0.3</v>
      </c>
      <c r="AX115" s="125">
        <v>1.1000000000000001</v>
      </c>
      <c r="AY115" s="125">
        <v>-1</v>
      </c>
      <c r="AZ115" s="132">
        <v>-0.1</v>
      </c>
      <c r="BA115" s="464">
        <v>-0.7</v>
      </c>
      <c r="BB115" s="132">
        <v>-0.5</v>
      </c>
      <c r="BC115" s="134">
        <v>1.8</v>
      </c>
      <c r="BD115" s="133">
        <f ca="1">INDIRECT(ADDRESS(MATCH($B115,'【別紙1】標高（入力）'!$B:$B,0),'【別紙1】標高（入力）'!AD$2,4,TRUE,"【別紙1】標高（入力）"))</f>
        <v>-2.0000000000006679</v>
      </c>
      <c r="BE115" s="132">
        <f ca="1">INDIRECT(ADDRESS(MATCH($B115,'【別紙1】標高（入力）'!$B:$B,0),'【別紙1】標高（入力）'!AE$2,4,TRUE,"【別紙1】標高（入力）"))</f>
        <v>1.1999999999989797</v>
      </c>
      <c r="BF115" s="479">
        <f ca="1">INDIRECT(ADDRESS(MATCH($B115,'【別紙1】標高（入力）'!$B:$B,0),'【別紙1】標高（入力）'!AF$2,4,TRUE,"【別紙1】標高（入力）"))</f>
        <v>-1.1999999999989797</v>
      </c>
      <c r="BG115" s="479">
        <f ca="1">INDIRECT(ADDRESS(MATCH($B115,'【別紙1】標高（入力）'!$B:$B,0),'【別紙1】標高（入力）'!AG$2,4,TRUE,"【別紙1】標高（入力）"))</f>
        <v>-9.9999999999766942E-2</v>
      </c>
      <c r="BH115" s="132">
        <f ca="1">INDIRECT(ADDRESS(MATCH($B115,'【別紙1】標高（入力）'!$B:$B,0),'【別紙1】標高（入力）'!AH$2,4,TRUE,"【別紙1】標高（入力）"))</f>
        <v>0.19999999999953388</v>
      </c>
      <c r="BI115" s="132">
        <f ca="1">INDIRECT(ADDRESS(MATCH($B115,'【別紙1】標高（入力）'!$B:$B,0),'【別紙1】標高（入力）'!AI$2,4,TRUE,"【別紙1】標高（入力）"))</f>
        <v>2.7000000000008129</v>
      </c>
      <c r="BJ115" s="631">
        <f ca="1">INDIRECT(ADDRESS(MATCH($B115,'【別紙1】標高（入力）'!$B:$B,0),'【別紙1】標高（入力）'!AJ$2,4,TRUE,"【別紙1】標高（入力）"))</f>
        <v>-2.7000000000008129</v>
      </c>
      <c r="BK115" s="598">
        <f t="shared" ca="1" si="32"/>
        <v>2.7000000000008129</v>
      </c>
      <c r="BL115" s="604">
        <f t="shared" ca="1" si="33"/>
        <v>6.5400000000005214</v>
      </c>
      <c r="BM115" s="600" t="str">
        <f ca="1">INDIRECT(ADDRESS(MATCH($B115,'【別紙1】標高（入力）'!$B:$B,0),'【別紙1】標高（入力）'!$N$2,4,TRUE,"【別紙1】標高（入力）"))</f>
        <v>R5</v>
      </c>
      <c r="BN115" s="342">
        <f ca="1">INDIRECT(ADDRESS(MATCH($B115,'【別紙1】標高（入力）'!$B:$B,0),'【別紙1】標高（入力）'!$O$2,4,TRUE,"【別紙1】標高（入力）"))</f>
        <v>12.446199999999999</v>
      </c>
      <c r="BO115" s="392"/>
    </row>
    <row r="116" spans="1:67" s="231" customFormat="1" ht="15.95" customHeight="1">
      <c r="A116" s="214">
        <v>801</v>
      </c>
      <c r="B116" s="215" t="s">
        <v>493</v>
      </c>
      <c r="C116" s="216" t="s">
        <v>196</v>
      </c>
      <c r="D116" s="217" t="s">
        <v>576</v>
      </c>
      <c r="E116" s="218" t="s">
        <v>198</v>
      </c>
      <c r="F116" s="219" t="s">
        <v>9</v>
      </c>
      <c r="G116" s="220" t="s">
        <v>10</v>
      </c>
      <c r="H116" s="220" t="s">
        <v>541</v>
      </c>
      <c r="I116" s="220" t="s">
        <v>141</v>
      </c>
      <c r="J116" s="220" t="s">
        <v>547</v>
      </c>
      <c r="K116" s="224"/>
      <c r="L116" s="228"/>
      <c r="M116" s="221"/>
      <c r="N116" s="233" t="s">
        <v>636</v>
      </c>
      <c r="O116" s="221">
        <v>-8.6999999999999993</v>
      </c>
      <c r="P116" s="222">
        <v>15.2</v>
      </c>
      <c r="Q116" s="222">
        <v>2.9</v>
      </c>
      <c r="R116" s="222">
        <v>10.5</v>
      </c>
      <c r="S116" s="233" t="s">
        <v>636</v>
      </c>
      <c r="T116" s="221">
        <v>-0.8</v>
      </c>
      <c r="U116" s="233" t="s">
        <v>636</v>
      </c>
      <c r="V116" s="221">
        <v>91</v>
      </c>
      <c r="W116" s="233" t="s">
        <v>679</v>
      </c>
      <c r="X116" s="228"/>
      <c r="Y116" s="228"/>
      <c r="Z116" s="228"/>
      <c r="AA116" s="228"/>
      <c r="AB116" s="221">
        <v>-67.400000000000006</v>
      </c>
      <c r="AC116" s="233" t="s">
        <v>1273</v>
      </c>
      <c r="AD116" s="228"/>
      <c r="AE116" s="221">
        <v>4.0999999999999996</v>
      </c>
      <c r="AF116" s="233" t="s">
        <v>1273</v>
      </c>
      <c r="AG116" s="228"/>
      <c r="AH116" s="228">
        <v>6.1</v>
      </c>
      <c r="AI116" s="227" t="s">
        <v>707</v>
      </c>
      <c r="AJ116" s="228"/>
      <c r="AK116" s="228"/>
      <c r="AL116" s="228"/>
      <c r="AM116" s="228"/>
      <c r="AN116" s="228"/>
      <c r="AO116" s="228"/>
      <c r="AP116" s="228">
        <v>24.4</v>
      </c>
      <c r="AQ116" s="225"/>
      <c r="AR116" s="228"/>
      <c r="AS116" s="228"/>
      <c r="AT116" s="228"/>
      <c r="AU116" s="228"/>
      <c r="AV116" s="228"/>
      <c r="AW116" s="228"/>
      <c r="AX116" s="228"/>
      <c r="AY116" s="228"/>
      <c r="AZ116" s="228"/>
      <c r="BA116" s="462"/>
      <c r="BB116" s="228"/>
      <c r="BC116" s="228"/>
      <c r="BD116" s="228" t="str">
        <f ca="1">INDIRECT(ADDRESS(MATCH($B116,'【別紙1】標高（入力）'!$B:$B,0),'【別紙1】標高（入力）'!AD$2,4,TRUE,"【別紙1】標高（入力）"))</f>
        <v/>
      </c>
      <c r="BE116" s="228" t="str">
        <f ca="1">INDIRECT(ADDRESS(MATCH($B116,'【別紙1】標高（入力）'!$B:$B,0),'【別紙1】標高（入力）'!AE$2,4,TRUE,"【別紙1】標高（入力）"))</f>
        <v/>
      </c>
      <c r="BF116" s="228" t="str">
        <f ca="1">INDIRECT(ADDRESS(MATCH($B116,'【別紙1】標高（入力）'!$B:$B,0),'【別紙1】標高（入力）'!AF$2,4,TRUE,"【別紙1】標高（入力）"))</f>
        <v/>
      </c>
      <c r="BG116" s="228" t="str">
        <f ca="1">INDIRECT(ADDRESS(MATCH($B116,'【別紙1】標高（入力）'!$B:$B,0),'【別紙1】標高（入力）'!AG$2,4,TRUE,"【別紙1】標高（入力）"))</f>
        <v/>
      </c>
      <c r="BH116" s="228" t="str">
        <f ca="1">INDIRECT(ADDRESS(MATCH($B116,'【別紙1】標高（入力）'!$B:$B,0),'【別紙1】標高（入力）'!AH$2,4,TRUE,"【別紙1】標高（入力）"))</f>
        <v/>
      </c>
      <c r="BI116" s="228"/>
      <c r="BJ116" s="570" t="str">
        <f ca="1">INDIRECT(ADDRESS(MATCH($B116,'【別紙1】標高（入力）'!$B:$B,0),'【別紙1】標高（入力）'!AJ$2,4,TRUE,"【別紙1】標高（入力）"))</f>
        <v/>
      </c>
      <c r="BK116" s="599" t="str">
        <f t="shared" ca="1" si="22"/>
        <v>-</v>
      </c>
      <c r="BL116" s="605">
        <f t="shared" ca="1" si="23"/>
        <v>77.299999999999983</v>
      </c>
      <c r="BM116" s="601" t="str">
        <f ca="1">INDIRECT(ADDRESS(MATCH($B116,'【別紙1】標高（入力）'!$B:$B,0),'【別紙1】標高（入力）'!$N$2,4,TRUE,"【別紙1】標高（入力）"))</f>
        <v>H16</v>
      </c>
      <c r="BN116" s="341">
        <f ca="1">INDIRECT(ADDRESS(MATCH($B116,'【別紙1】標高（入力）'!$B:$B,0),'【別紙1】標高（入力）'!$O$2,4,TRUE,"【別紙1】標高（入力）"))</f>
        <v>28.292300000000001</v>
      </c>
      <c r="BO116" s="393" t="s">
        <v>1377</v>
      </c>
    </row>
    <row r="117" spans="1:67" ht="15.95" customHeight="1">
      <c r="A117" s="119">
        <v>802</v>
      </c>
      <c r="B117" s="591">
        <v>8557</v>
      </c>
      <c r="C117" s="114" t="s">
        <v>196</v>
      </c>
      <c r="D117" s="596" t="s">
        <v>1395</v>
      </c>
      <c r="E117" s="597" t="s">
        <v>1433</v>
      </c>
      <c r="F117" s="111" t="s">
        <v>12</v>
      </c>
      <c r="G117" s="112" t="s">
        <v>10</v>
      </c>
      <c r="H117" s="112" t="s">
        <v>541</v>
      </c>
      <c r="I117" s="112" t="s">
        <v>141</v>
      </c>
      <c r="J117" s="112" t="s">
        <v>547</v>
      </c>
      <c r="K117" s="224"/>
      <c r="L117" s="228"/>
      <c r="M117" s="221"/>
      <c r="N117" s="124">
        <v>-3.6</v>
      </c>
      <c r="O117" s="124">
        <v>-3.9</v>
      </c>
      <c r="P117" s="124">
        <v>13.7</v>
      </c>
      <c r="Q117" s="124">
        <v>4.8</v>
      </c>
      <c r="R117" s="124">
        <v>12.3</v>
      </c>
      <c r="S117" s="136" t="s">
        <v>636</v>
      </c>
      <c r="T117" s="127">
        <v>-2.9</v>
      </c>
      <c r="U117" s="136" t="s">
        <v>636</v>
      </c>
      <c r="V117" s="127">
        <v>-0.5</v>
      </c>
      <c r="W117" s="136" t="s">
        <v>679</v>
      </c>
      <c r="X117" s="122"/>
      <c r="Y117" s="122"/>
      <c r="Z117" s="122"/>
      <c r="AA117" s="122"/>
      <c r="AB117" s="127">
        <v>30.2</v>
      </c>
      <c r="AC117" s="136" t="s">
        <v>1273</v>
      </c>
      <c r="AD117" s="122"/>
      <c r="AE117" s="127">
        <v>9.1999999999999993</v>
      </c>
      <c r="AF117" s="136" t="s">
        <v>1273</v>
      </c>
      <c r="AG117" s="122"/>
      <c r="AH117" s="122">
        <v>8.1</v>
      </c>
      <c r="AI117" s="139" t="s">
        <v>707</v>
      </c>
      <c r="AJ117" s="122"/>
      <c r="AK117" s="122"/>
      <c r="AL117" s="122"/>
      <c r="AM117" s="122"/>
      <c r="AN117" s="122"/>
      <c r="AO117" s="122"/>
      <c r="AP117" s="121">
        <v>25.1</v>
      </c>
      <c r="AQ117" s="135" t="s">
        <v>1070</v>
      </c>
      <c r="AR117" s="122"/>
      <c r="AS117" s="122"/>
      <c r="AT117" s="122"/>
      <c r="AU117" s="122">
        <v>4.8</v>
      </c>
      <c r="AV117" s="225"/>
      <c r="AW117" s="138" t="s">
        <v>260</v>
      </c>
      <c r="AX117" s="228"/>
      <c r="AY117" s="138" t="s">
        <v>530</v>
      </c>
      <c r="AZ117" s="139" t="s">
        <v>1069</v>
      </c>
      <c r="BA117" s="460">
        <v>0.1</v>
      </c>
      <c r="BB117" s="139" t="s">
        <v>1068</v>
      </c>
      <c r="BC117" s="122"/>
      <c r="BD117" s="122">
        <f ca="1">INDIRECT(ADDRESS(MATCH($B117,'【別紙1】標高（入力）'!$B:$B,0),'【別紙1】標高（入力）'!AD$2,4,TRUE,"【別紙1】標高（入力）"))</f>
        <v>2.8000000000005798</v>
      </c>
      <c r="BE117" s="139" t="s">
        <v>1333</v>
      </c>
      <c r="BF117" s="121">
        <f ca="1">INDIRECT(ADDRESS(MATCH($B117,'【別紙1】標高（入力）'!$B:$B,0),'【別紙1】標高（入力）'!AF$2,4,TRUE,"【別紙1】標高（入力）"))</f>
        <v>2.400000000001512</v>
      </c>
      <c r="BG117" s="139" t="s">
        <v>1073</v>
      </c>
      <c r="BH117" s="121">
        <f ca="1">INDIRECT(ADDRESS(MATCH($B117,'【別紙1】標高（入力）'!$B:$B,0),'【別紙1】標高（入力）'!AH$2,4,TRUE,"【別紙1】標高（入力）"))</f>
        <v>0.49999999999883471</v>
      </c>
      <c r="BI117" s="122"/>
      <c r="BJ117" s="624" t="str">
        <f ca="1">INDIRECT(ADDRESS(MATCH($B117,'【別紙1】標高（入力）'!$B:$B,0),'【別紙1】標高（入力）'!AJ$2,4,TRUE,"【別紙1】標高（入力）"))</f>
        <v/>
      </c>
      <c r="BK117" s="598" t="str">
        <f t="shared" ca="1" si="32"/>
        <v>-</v>
      </c>
      <c r="BL117" s="604">
        <f t="shared" ref="BL117:BL118" ca="1" si="34">SUM(K117:BI117)</f>
        <v>103.10000000000092</v>
      </c>
      <c r="BM117" s="600" t="str">
        <f ca="1">INDIRECT(ADDRESS(MATCH($B117,'【別紙1】標高（入力）'!$B:$B,0),'【別紙1】標高（入力）'!$N$2,4,TRUE,"【別紙1】標高（入力）"))</f>
        <v>R4</v>
      </c>
      <c r="BN117" s="340">
        <f ca="1">INDIRECT(ADDRESS(MATCH($B117,'【別紙1】標高（入力）'!$B:$B,0),'【別紙1】標高（入力）'!$O$2,4,TRUE,"【別紙1】標高（入力）"))</f>
        <v>19.467700000000001</v>
      </c>
      <c r="BO117" s="392"/>
    </row>
    <row r="118" spans="1:67" ht="15.95" customHeight="1">
      <c r="A118" s="119">
        <v>803</v>
      </c>
      <c r="B118" s="591">
        <v>4598</v>
      </c>
      <c r="C118" s="114" t="s">
        <v>196</v>
      </c>
      <c r="D118" s="110" t="s">
        <v>688</v>
      </c>
      <c r="E118" s="597" t="s">
        <v>1434</v>
      </c>
      <c r="F118" s="111" t="s">
        <v>12</v>
      </c>
      <c r="G118" s="112" t="s">
        <v>10</v>
      </c>
      <c r="H118" s="112" t="s">
        <v>541</v>
      </c>
      <c r="I118" s="112" t="s">
        <v>141</v>
      </c>
      <c r="J118" s="112" t="s">
        <v>547</v>
      </c>
      <c r="K118" s="224"/>
      <c r="L118" s="228"/>
      <c r="M118" s="221"/>
      <c r="N118" s="124">
        <v>-2.6</v>
      </c>
      <c r="O118" s="124">
        <v>-3.3</v>
      </c>
      <c r="P118" s="124">
        <v>11.7</v>
      </c>
      <c r="Q118" s="124">
        <v>5</v>
      </c>
      <c r="R118" s="124">
        <v>12.9</v>
      </c>
      <c r="S118" s="136" t="s">
        <v>636</v>
      </c>
      <c r="T118" s="127">
        <v>4.7</v>
      </c>
      <c r="U118" s="136" t="s">
        <v>1275</v>
      </c>
      <c r="V118" s="122"/>
      <c r="W118" s="122"/>
      <c r="X118" s="122"/>
      <c r="Y118" s="122"/>
      <c r="Z118" s="122"/>
      <c r="AA118" s="122"/>
      <c r="AB118" s="127">
        <v>21.7</v>
      </c>
      <c r="AC118" s="136" t="s">
        <v>1273</v>
      </c>
      <c r="AD118" s="122"/>
      <c r="AE118" s="127">
        <v>9.9</v>
      </c>
      <c r="AF118" s="136" t="s">
        <v>1273</v>
      </c>
      <c r="AG118" s="122"/>
      <c r="AH118" s="122">
        <v>7.4</v>
      </c>
      <c r="AI118" s="139" t="s">
        <v>707</v>
      </c>
      <c r="AJ118" s="122"/>
      <c r="AK118" s="122"/>
      <c r="AL118" s="122"/>
      <c r="AM118" s="122"/>
      <c r="AN118" s="122"/>
      <c r="AO118" s="122"/>
      <c r="AP118" s="121">
        <v>29.9</v>
      </c>
      <c r="AQ118" s="135" t="s">
        <v>1070</v>
      </c>
      <c r="AR118" s="122"/>
      <c r="AS118" s="122"/>
      <c r="AT118" s="122"/>
      <c r="AU118" s="122">
        <v>3.2</v>
      </c>
      <c r="AV118" s="139" t="s">
        <v>1072</v>
      </c>
      <c r="AW118" s="122"/>
      <c r="AX118" s="122"/>
      <c r="AY118" s="122"/>
      <c r="AZ118" s="122"/>
      <c r="BA118" s="460">
        <v>8.9</v>
      </c>
      <c r="BB118" s="139" t="s">
        <v>1336</v>
      </c>
      <c r="BC118" s="122"/>
      <c r="BD118" s="122" t="str">
        <f ca="1">INDIRECT(ADDRESS(MATCH($B118,'【別紙1】標高（入力）'!$B:$B,0),'【別紙1】標高（入力）'!AD$2,4,TRUE,"【別紙1】標高（入力）"))</f>
        <v/>
      </c>
      <c r="BE118" s="122" t="str">
        <f ca="1">INDIRECT(ADDRESS(MATCH($B118,'【別紙1】標高（入力）'!$B:$B,0),'【別紙1】標高（入力）'!AE$2,4,TRUE,"【別紙1】標高（入力）"))</f>
        <v/>
      </c>
      <c r="BF118" s="121">
        <f ca="1">INDIRECT(ADDRESS(MATCH($B118,'【別紙1】標高（入力）'!$B:$B,0),'【別紙1】標高（入力）'!AF$2,4,TRUE,"【別紙1】標高（入力）"))</f>
        <v>3.2999999999958618</v>
      </c>
      <c r="BG118" s="122" t="str">
        <f ca="1">INDIRECT(ADDRESS(MATCH($B118,'【別紙1】標高（入力）'!$B:$B,0),'【別紙1】標高（入力）'!AG$2,4,TRUE,"【別紙1】標高（入力）"))</f>
        <v/>
      </c>
      <c r="BH118" s="122" t="str">
        <f ca="1">INDIRECT(ADDRESS(MATCH($B118,'【別紙1】標高（入力）'!$B:$B,0),'【別紙1】標高（入力）'!AH$2,4,TRUE,"【別紙1】標高（入力）"))</f>
        <v/>
      </c>
      <c r="BI118" s="122"/>
      <c r="BJ118" s="624" t="str">
        <f ca="1">INDIRECT(ADDRESS(MATCH($B118,'【別紙1】標高（入力）'!$B:$B,0),'【別紙1】標高（入力）'!AJ$2,4,TRUE,"【別紙1】標高（入力）"))</f>
        <v/>
      </c>
      <c r="BK118" s="598" t="str">
        <f t="shared" ca="1" si="32"/>
        <v>-</v>
      </c>
      <c r="BL118" s="604">
        <f t="shared" ca="1" si="34"/>
        <v>112.69999999999585</v>
      </c>
      <c r="BM118" s="600" t="str">
        <f ca="1">INDIRECT(ADDRESS(MATCH($B118,'【別紙1】標高（入力）'!$B:$B,0),'【別紙1】標高（入力）'!$N$2,4,TRUE,"【別紙1】標高（入力）"))</f>
        <v>R2</v>
      </c>
      <c r="BN118" s="340">
        <f ca="1">INDIRECT(ADDRESS(MATCH($B118,'【別紙1】標高（入力）'!$B:$B,0),'【別紙1】標高（入力）'!$O$2,4,TRUE,"【別紙1】標高（入力）"))</f>
        <v>47.150100000000002</v>
      </c>
      <c r="BO118" s="392"/>
    </row>
    <row r="119" spans="1:67" s="231" customFormat="1" ht="15.95" customHeight="1">
      <c r="A119" s="214">
        <v>804</v>
      </c>
      <c r="B119" s="215" t="s">
        <v>497</v>
      </c>
      <c r="C119" s="216" t="s">
        <v>196</v>
      </c>
      <c r="D119" s="217" t="s">
        <v>704</v>
      </c>
      <c r="E119" s="218" t="s">
        <v>251</v>
      </c>
      <c r="F119" s="219" t="s">
        <v>9</v>
      </c>
      <c r="G119" s="220" t="s">
        <v>10</v>
      </c>
      <c r="H119" s="220" t="s">
        <v>541</v>
      </c>
      <c r="I119" s="220" t="s">
        <v>141</v>
      </c>
      <c r="J119" s="220" t="s">
        <v>547</v>
      </c>
      <c r="K119" s="224"/>
      <c r="L119" s="228"/>
      <c r="M119" s="221"/>
      <c r="N119" s="233" t="s">
        <v>636</v>
      </c>
      <c r="O119" s="221">
        <v>19.600000000000001</v>
      </c>
      <c r="P119" s="222">
        <v>11.4</v>
      </c>
      <c r="Q119" s="222">
        <v>3.5</v>
      </c>
      <c r="R119" s="222">
        <v>7.4</v>
      </c>
      <c r="S119" s="233" t="s">
        <v>636</v>
      </c>
      <c r="T119" s="221">
        <v>0.8</v>
      </c>
      <c r="U119" s="233" t="s">
        <v>1275</v>
      </c>
      <c r="V119" s="228"/>
      <c r="W119" s="228"/>
      <c r="X119" s="228"/>
      <c r="Y119" s="228"/>
      <c r="Z119" s="228"/>
      <c r="AA119" s="228"/>
      <c r="AB119" s="221">
        <v>22.7</v>
      </c>
      <c r="AC119" s="233" t="s">
        <v>679</v>
      </c>
      <c r="AD119" s="228"/>
      <c r="AE119" s="228"/>
      <c r="AF119" s="228"/>
      <c r="AG119" s="228"/>
      <c r="AH119" s="228">
        <v>19.2</v>
      </c>
      <c r="AI119" s="227" t="s">
        <v>707</v>
      </c>
      <c r="AJ119" s="228"/>
      <c r="AK119" s="228"/>
      <c r="AL119" s="228"/>
      <c r="AM119" s="228"/>
      <c r="AN119" s="228"/>
      <c r="AO119" s="228"/>
      <c r="AP119" s="229">
        <v>28.5</v>
      </c>
      <c r="AQ119" s="225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462"/>
      <c r="BB119" s="228"/>
      <c r="BC119" s="228"/>
      <c r="BD119" s="228" t="str">
        <f ca="1">INDIRECT(ADDRESS(MATCH($B119,'【別紙1】標高（入力）'!$B:$B,0),'【別紙1】標高（入力）'!AD$2,4,TRUE,"【別紙1】標高（入力）"))</f>
        <v/>
      </c>
      <c r="BE119" s="228" t="str">
        <f ca="1">INDIRECT(ADDRESS(MATCH($B119,'【別紙1】標高（入力）'!$B:$B,0),'【別紙1】標高（入力）'!AE$2,4,TRUE,"【別紙1】標高（入力）"))</f>
        <v/>
      </c>
      <c r="BF119" s="228" t="str">
        <f ca="1">INDIRECT(ADDRESS(MATCH($B119,'【別紙1】標高（入力）'!$B:$B,0),'【別紙1】標高（入力）'!AF$2,4,TRUE,"【別紙1】標高（入力）"))</f>
        <v/>
      </c>
      <c r="BG119" s="228" t="str">
        <f ca="1">INDIRECT(ADDRESS(MATCH($B119,'【別紙1】標高（入力）'!$B:$B,0),'【別紙1】標高（入力）'!AG$2,4,TRUE,"【別紙1】標高（入力）"))</f>
        <v/>
      </c>
      <c r="BH119" s="228" t="str">
        <f ca="1">INDIRECT(ADDRESS(MATCH($B119,'【別紙1】標高（入力）'!$B:$B,0),'【別紙1】標高（入力）'!AH$2,4,TRUE,"【別紙1】標高（入力）"))</f>
        <v/>
      </c>
      <c r="BI119" s="228"/>
      <c r="BJ119" s="625" t="str">
        <f ca="1">INDIRECT(ADDRESS(MATCH($B119,'【別紙1】標高（入力）'!$B:$B,0),'【別紙1】標高（入力）'!AJ$2,4,TRUE,"【別紙1】標高（入力）"))</f>
        <v/>
      </c>
      <c r="BK119" s="599" t="str">
        <f t="shared" ca="1" si="22"/>
        <v>-</v>
      </c>
      <c r="BL119" s="605">
        <f t="shared" ca="1" si="23"/>
        <v>113.1</v>
      </c>
      <c r="BM119" s="601" t="str">
        <f ca="1">INDIRECT(ADDRESS(MATCH($B119,'【別紙1】標高（入力）'!$B:$B,0),'【別紙1】標高（入力）'!$N$2,4,TRUE,"【別紙1】標高（入力）"))</f>
        <v>H16</v>
      </c>
      <c r="BN119" s="341">
        <f ca="1">INDIRECT(ADDRESS(MATCH($B119,'【別紙1】標高（入力）'!$B:$B,0),'【別紙1】標高（入力）'!$O$2,4,TRUE,"【別紙1】標高（入力）"))</f>
        <v>39.122199999999999</v>
      </c>
      <c r="BO119" s="393" t="s">
        <v>1377</v>
      </c>
    </row>
    <row r="120" spans="1:67" ht="15.95" customHeight="1">
      <c r="A120" s="119">
        <v>805</v>
      </c>
      <c r="B120" s="107" t="s">
        <v>499</v>
      </c>
      <c r="C120" s="114" t="s">
        <v>196</v>
      </c>
      <c r="D120" s="110" t="s">
        <v>689</v>
      </c>
      <c r="E120" s="109" t="s">
        <v>205</v>
      </c>
      <c r="F120" s="111" t="s">
        <v>9</v>
      </c>
      <c r="G120" s="112" t="s">
        <v>127</v>
      </c>
      <c r="H120" s="112" t="s">
        <v>541</v>
      </c>
      <c r="I120" s="112" t="s">
        <v>141</v>
      </c>
      <c r="J120" s="112" t="s">
        <v>547</v>
      </c>
      <c r="K120" s="224"/>
      <c r="L120" s="228"/>
      <c r="M120" s="228"/>
      <c r="N120" s="228"/>
      <c r="O120" s="228"/>
      <c r="P120" s="228"/>
      <c r="Q120" s="221"/>
      <c r="R120" s="124">
        <v>6.1</v>
      </c>
      <c r="S120" s="136" t="s">
        <v>636</v>
      </c>
      <c r="T120" s="127">
        <v>1.9</v>
      </c>
      <c r="U120" s="136" t="s">
        <v>1275</v>
      </c>
      <c r="V120" s="122"/>
      <c r="W120" s="122"/>
      <c r="X120" s="122"/>
      <c r="Y120" s="122"/>
      <c r="Z120" s="122"/>
      <c r="AA120" s="122"/>
      <c r="AB120" s="127">
        <v>28</v>
      </c>
      <c r="AC120" s="136" t="s">
        <v>679</v>
      </c>
      <c r="AD120" s="122"/>
      <c r="AE120" s="122"/>
      <c r="AF120" s="122"/>
      <c r="AG120" s="122"/>
      <c r="AH120" s="122">
        <v>19.8</v>
      </c>
      <c r="AI120" s="139" t="s">
        <v>707</v>
      </c>
      <c r="AJ120" s="122"/>
      <c r="AK120" s="122"/>
      <c r="AL120" s="122"/>
      <c r="AM120" s="122"/>
      <c r="AN120" s="122"/>
      <c r="AO120" s="122"/>
      <c r="AP120" s="121">
        <v>31.9</v>
      </c>
      <c r="AQ120" s="135" t="s">
        <v>1070</v>
      </c>
      <c r="AR120" s="122"/>
      <c r="AS120" s="122"/>
      <c r="AT120" s="122"/>
      <c r="AU120" s="122">
        <v>1.8</v>
      </c>
      <c r="AV120" s="139" t="s">
        <v>1072</v>
      </c>
      <c r="AW120" s="122"/>
      <c r="AX120" s="122"/>
      <c r="AY120" s="122"/>
      <c r="AZ120" s="122"/>
      <c r="BA120" s="460">
        <v>11.2</v>
      </c>
      <c r="BB120" s="139" t="s">
        <v>1336</v>
      </c>
      <c r="BC120" s="122"/>
      <c r="BD120" s="122" t="str">
        <f ca="1">INDIRECT(ADDRESS(MATCH($B120,'【別紙1】標高（入力）'!$B:$B,0),'【別紙1】標高（入力）'!AD$2,4,TRUE,"【別紙1】標高（入力）"))</f>
        <v/>
      </c>
      <c r="BE120" s="122" t="str">
        <f ca="1">INDIRECT(ADDRESS(MATCH($B120,'【別紙1】標高（入力）'!$B:$B,0),'【別紙1】標高（入力）'!AE$2,4,TRUE,"【別紙1】標高（入力）"))</f>
        <v/>
      </c>
      <c r="BF120" s="121">
        <f ca="1">INDIRECT(ADDRESS(MATCH($B120,'【別紙1】標高（入力）'!$B:$B,0),'【別紙1】標高（入力）'!AF$2,4,TRUE,"【別紙1】標高（入力）"))</f>
        <v>4.1000000000011028</v>
      </c>
      <c r="BG120" s="122" t="str">
        <f ca="1">INDIRECT(ADDRESS(MATCH($B120,'【別紙1】標高（入力）'!$B:$B,0),'【別紙1】標高（入力）'!AG$2,4,TRUE,"【別紙1】標高（入力）"))</f>
        <v/>
      </c>
      <c r="BH120" s="122" t="str">
        <f ca="1">INDIRECT(ADDRESS(MATCH($B120,'【別紙1】標高（入力）'!$B:$B,0),'【別紙1】標高（入力）'!AH$2,4,TRUE,"【別紙1】標高（入力）"))</f>
        <v/>
      </c>
      <c r="BI120" s="122"/>
      <c r="BJ120" s="624" t="str">
        <f ca="1">INDIRECT(ADDRESS(MATCH($B120,'【別紙1】標高（入力）'!$B:$B,0),'【別紙1】標高（入力）'!AJ$2,4,TRUE,"【別紙1】標高（入力）"))</f>
        <v/>
      </c>
      <c r="BK120" s="598" t="str">
        <f t="shared" ca="1" si="32"/>
        <v>-</v>
      </c>
      <c r="BL120" s="604">
        <f t="shared" ref="BL120:BL122" ca="1" si="35">SUM(K120:BI120)</f>
        <v>104.80000000000109</v>
      </c>
      <c r="BM120" s="600" t="str">
        <f ca="1">INDIRECT(ADDRESS(MATCH($B120,'【別紙1】標高（入力）'!$B:$B,0),'【別紙1】標高（入力）'!$N$2,4,TRUE,"【別紙1】標高（入力）"))</f>
        <v>R2</v>
      </c>
      <c r="BN120" s="340">
        <f ca="1">INDIRECT(ADDRESS(MATCH($B120,'【別紙1】標高（入力）'!$B:$B,0),'【別紙1】標高（入力）'!$O$2,4,TRUE,"【別紙1】標高（入力）"))</f>
        <v>22.140699999999999</v>
      </c>
      <c r="BO120" s="392"/>
    </row>
    <row r="121" spans="1:67" ht="15.95" customHeight="1">
      <c r="A121" s="119">
        <v>806</v>
      </c>
      <c r="B121" s="107" t="s">
        <v>501</v>
      </c>
      <c r="C121" s="114" t="s">
        <v>196</v>
      </c>
      <c r="D121" s="110" t="s">
        <v>659</v>
      </c>
      <c r="E121" s="109" t="s">
        <v>207</v>
      </c>
      <c r="F121" s="111" t="s">
        <v>9</v>
      </c>
      <c r="G121" s="112" t="s">
        <v>31</v>
      </c>
      <c r="H121" s="112" t="s">
        <v>541</v>
      </c>
      <c r="I121" s="112" t="s">
        <v>141</v>
      </c>
      <c r="J121" s="112" t="s">
        <v>547</v>
      </c>
      <c r="K121" s="224"/>
      <c r="L121" s="228"/>
      <c r="M121" s="228"/>
      <c r="N121" s="228"/>
      <c r="O121" s="228"/>
      <c r="P121" s="221"/>
      <c r="Q121" s="124">
        <v>9.1999999999999993</v>
      </c>
      <c r="R121" s="124">
        <v>10.8</v>
      </c>
      <c r="S121" s="136" t="s">
        <v>636</v>
      </c>
      <c r="T121" s="127">
        <v>-5.7</v>
      </c>
      <c r="U121" s="136" t="s">
        <v>1275</v>
      </c>
      <c r="V121" s="122"/>
      <c r="W121" s="122"/>
      <c r="X121" s="122"/>
      <c r="Y121" s="122"/>
      <c r="Z121" s="122"/>
      <c r="AA121" s="122"/>
      <c r="AB121" s="127">
        <v>32.9</v>
      </c>
      <c r="AC121" s="136" t="s">
        <v>679</v>
      </c>
      <c r="AD121" s="122"/>
      <c r="AE121" s="122"/>
      <c r="AF121" s="122"/>
      <c r="AG121" s="122"/>
      <c r="AH121" s="122">
        <v>27</v>
      </c>
      <c r="AI121" s="139" t="s">
        <v>707</v>
      </c>
      <c r="AJ121" s="122"/>
      <c r="AK121" s="122"/>
      <c r="AL121" s="122"/>
      <c r="AM121" s="122"/>
      <c r="AN121" s="122"/>
      <c r="AO121" s="122"/>
      <c r="AP121" s="121">
        <v>24.1</v>
      </c>
      <c r="AQ121" s="135" t="s">
        <v>1070</v>
      </c>
      <c r="AR121" s="122"/>
      <c r="AS121" s="122"/>
      <c r="AT121" s="122"/>
      <c r="AU121" s="122">
        <v>-3.7</v>
      </c>
      <c r="AV121" s="139" t="s">
        <v>1072</v>
      </c>
      <c r="AW121" s="122"/>
      <c r="AX121" s="122"/>
      <c r="AY121" s="122"/>
      <c r="AZ121" s="122"/>
      <c r="BA121" s="460">
        <v>9.6</v>
      </c>
      <c r="BB121" s="139" t="s">
        <v>1336</v>
      </c>
      <c r="BC121" s="122"/>
      <c r="BD121" s="122" t="str">
        <f ca="1">INDIRECT(ADDRESS(MATCH($B121,'【別紙1】標高（入力）'!$B:$B,0),'【別紙1】標高（入力）'!AD$2,4,TRUE,"【別紙1】標高（入力）"))</f>
        <v/>
      </c>
      <c r="BE121" s="122" t="str">
        <f ca="1">INDIRECT(ADDRESS(MATCH($B121,'【別紙1】標高（入力）'!$B:$B,0),'【別紙1】標高（入力）'!AE$2,4,TRUE,"【別紙1】標高（入力）"))</f>
        <v/>
      </c>
      <c r="BF121" s="121">
        <f ca="1">INDIRECT(ADDRESS(MATCH($B121,'【別紙1】標高（入力）'!$B:$B,0),'【別紙1】標高（入力）'!AF$2,4,TRUE,"【別紙1】標高（入力）"))</f>
        <v>5.3000000000018588</v>
      </c>
      <c r="BG121" s="122" t="str">
        <f ca="1">INDIRECT(ADDRESS(MATCH($B121,'【別紙1】標高（入力）'!$B:$B,0),'【別紙1】標高（入力）'!AG$2,4,TRUE,"【別紙1】標高（入力）"))</f>
        <v/>
      </c>
      <c r="BH121" s="122" t="str">
        <f ca="1">INDIRECT(ADDRESS(MATCH($B121,'【別紙1】標高（入力）'!$B:$B,0),'【別紙1】標高（入力）'!AH$2,4,TRUE,"【別紙1】標高（入力）"))</f>
        <v/>
      </c>
      <c r="BI121" s="122"/>
      <c r="BJ121" s="624" t="str">
        <f ca="1">INDIRECT(ADDRESS(MATCH($B121,'【別紙1】標高（入力）'!$B:$B,0),'【別紙1】標高（入力）'!AJ$2,4,TRUE,"【別紙1】標高（入力）"))</f>
        <v/>
      </c>
      <c r="BK121" s="598" t="str">
        <f t="shared" ca="1" si="32"/>
        <v>-</v>
      </c>
      <c r="BL121" s="604">
        <f t="shared" ca="1" si="35"/>
        <v>109.50000000000186</v>
      </c>
      <c r="BM121" s="600" t="str">
        <f ca="1">INDIRECT(ADDRESS(MATCH($B121,'【別紙1】標高（入力）'!$B:$B,0),'【別紙1】標高（入力）'!$N$2,4,TRUE,"【別紙1】標高（入力）"))</f>
        <v>R2</v>
      </c>
      <c r="BN121" s="340">
        <f ca="1">INDIRECT(ADDRESS(MATCH($B121,'【別紙1】標高（入力）'!$B:$B,0),'【別紙1】標高（入力）'!$O$2,4,TRUE,"【別紙1】標高（入力）"))</f>
        <v>28.729399999999998</v>
      </c>
      <c r="BO121" s="392"/>
    </row>
    <row r="122" spans="1:67" ht="15.95" customHeight="1">
      <c r="A122" s="119">
        <v>807</v>
      </c>
      <c r="B122" s="591">
        <v>8555</v>
      </c>
      <c r="C122" s="114" t="s">
        <v>196</v>
      </c>
      <c r="D122" s="110" t="s">
        <v>580</v>
      </c>
      <c r="E122" s="597" t="s">
        <v>1435</v>
      </c>
      <c r="F122" s="111" t="s">
        <v>12</v>
      </c>
      <c r="G122" s="112" t="s">
        <v>31</v>
      </c>
      <c r="H122" s="112" t="s">
        <v>541</v>
      </c>
      <c r="I122" s="112" t="s">
        <v>54</v>
      </c>
      <c r="J122" s="112" t="s">
        <v>291</v>
      </c>
      <c r="K122" s="224"/>
      <c r="L122" s="228"/>
      <c r="M122" s="228"/>
      <c r="N122" s="228"/>
      <c r="O122" s="228"/>
      <c r="P122" s="221"/>
      <c r="Q122" s="124">
        <v>13.4</v>
      </c>
      <c r="R122" s="124">
        <v>12.2</v>
      </c>
      <c r="S122" s="124">
        <v>11.7</v>
      </c>
      <c r="T122" s="124">
        <v>9.9</v>
      </c>
      <c r="U122" s="124">
        <v>7.2</v>
      </c>
      <c r="V122" s="124">
        <v>11.3</v>
      </c>
      <c r="W122" s="136" t="s">
        <v>679</v>
      </c>
      <c r="X122" s="122"/>
      <c r="Y122" s="122"/>
      <c r="Z122" s="122"/>
      <c r="AA122" s="122"/>
      <c r="AB122" s="127">
        <v>42.6</v>
      </c>
      <c r="AC122" s="136" t="s">
        <v>1273</v>
      </c>
      <c r="AD122" s="122"/>
      <c r="AE122" s="127">
        <v>23.7</v>
      </c>
      <c r="AF122" s="136" t="s">
        <v>1273</v>
      </c>
      <c r="AG122" s="122"/>
      <c r="AH122" s="122">
        <v>15</v>
      </c>
      <c r="AI122" s="139" t="s">
        <v>525</v>
      </c>
      <c r="AJ122" s="122"/>
      <c r="AK122" s="127">
        <v>12.7</v>
      </c>
      <c r="AL122" s="136" t="s">
        <v>525</v>
      </c>
      <c r="AM122" s="122"/>
      <c r="AN122" s="121">
        <v>9</v>
      </c>
      <c r="AO122" s="139" t="s">
        <v>637</v>
      </c>
      <c r="AP122" s="121">
        <v>26.1</v>
      </c>
      <c r="AQ122" s="135" t="s">
        <v>1070</v>
      </c>
      <c r="AR122" s="122"/>
      <c r="AS122" s="122"/>
      <c r="AT122" s="122"/>
      <c r="AU122" s="122">
        <v>4.8</v>
      </c>
      <c r="AV122" s="139" t="s">
        <v>1071</v>
      </c>
      <c r="AW122" s="122"/>
      <c r="AX122" s="122"/>
      <c r="AY122" s="122">
        <v>13.9</v>
      </c>
      <c r="AZ122" s="139" t="s">
        <v>1069</v>
      </c>
      <c r="BA122" s="460">
        <v>3.5</v>
      </c>
      <c r="BB122" s="139" t="s">
        <v>1068</v>
      </c>
      <c r="BC122" s="122"/>
      <c r="BD122" s="122">
        <f ca="1">INDIRECT(ADDRESS(MATCH($B122,'【別紙1】標高（入力）'!$B:$B,0),'【別紙1】標高（入力）'!AD$2,4,TRUE,"【別紙1】標高（入力）"))</f>
        <v>7.6999999999998181</v>
      </c>
      <c r="BE122" s="139" t="s">
        <v>1333</v>
      </c>
      <c r="BF122" s="121">
        <f ca="1">INDIRECT(ADDRESS(MATCH($B122,'【別紙1】標高（入力）'!$B:$B,0),'【別紙1】標高（入力）'!AF$2,4,TRUE,"【別紙1】標高（入力）"))</f>
        <v>7.5000000000002842</v>
      </c>
      <c r="BG122" s="139" t="s">
        <v>1073</v>
      </c>
      <c r="BH122" s="121">
        <f ca="1">INDIRECT(ADDRESS(MATCH($B122,'【別紙1】標高（入力）'!$B:$B,0),'【別紙1】標高（入力）'!AH$2,4,TRUE,"【別紙1】標高（入力）"))</f>
        <v>1.900000000000901</v>
      </c>
      <c r="BI122" s="122"/>
      <c r="BJ122" s="624" t="str">
        <f ca="1">INDIRECT(ADDRESS(MATCH($B122,'【別紙1】標高（入力）'!$B:$B,0),'【別紙1】標高（入力）'!AJ$2,4,TRUE,"【別紙1】標高（入力）"))</f>
        <v/>
      </c>
      <c r="BK122" s="598" t="str">
        <f t="shared" ca="1" si="32"/>
        <v>-</v>
      </c>
      <c r="BL122" s="604">
        <f t="shared" ca="1" si="35"/>
        <v>234.10000000000099</v>
      </c>
      <c r="BM122" s="600" t="str">
        <f ca="1">INDIRECT(ADDRESS(MATCH($B122,'【別紙1】標高（入力）'!$B:$B,0),'【別紙1】標高（入力）'!$N$2,4,TRUE,"【別紙1】標高（入力）"))</f>
        <v>R4</v>
      </c>
      <c r="BN122" s="340">
        <f ca="1">INDIRECT(ADDRESS(MATCH($B122,'【別紙1】標高（入力）'!$B:$B,0),'【別紙1】標高（入力）'!$O$2,4,TRUE,"【別紙1】標高（入力）"))</f>
        <v>11.420999999999999</v>
      </c>
      <c r="BO122" s="392"/>
    </row>
    <row r="123" spans="1:67" s="231" customFormat="1" ht="15.95" customHeight="1">
      <c r="A123" s="214">
        <v>808</v>
      </c>
      <c r="B123" s="595">
        <v>8556</v>
      </c>
      <c r="C123" s="216" t="s">
        <v>196</v>
      </c>
      <c r="D123" s="217" t="s">
        <v>673</v>
      </c>
      <c r="E123" s="218" t="s">
        <v>211</v>
      </c>
      <c r="F123" s="219" t="s">
        <v>12</v>
      </c>
      <c r="G123" s="220" t="s">
        <v>10</v>
      </c>
      <c r="H123" s="220" t="s">
        <v>541</v>
      </c>
      <c r="I123" s="220" t="s">
        <v>141</v>
      </c>
      <c r="J123" s="220" t="s">
        <v>547</v>
      </c>
      <c r="K123" s="224"/>
      <c r="L123" s="228"/>
      <c r="M123" s="221"/>
      <c r="N123" s="124">
        <v>-1.7</v>
      </c>
      <c r="O123" s="124">
        <v>-6</v>
      </c>
      <c r="P123" s="124">
        <v>13.3</v>
      </c>
      <c r="Q123" s="124">
        <v>4.8</v>
      </c>
      <c r="R123" s="124">
        <v>15.8</v>
      </c>
      <c r="S123" s="124">
        <v>-6.4</v>
      </c>
      <c r="T123" s="124">
        <v>-1.9</v>
      </c>
      <c r="U123" s="136" t="s">
        <v>636</v>
      </c>
      <c r="V123" s="127">
        <v>-1.7</v>
      </c>
      <c r="W123" s="136" t="s">
        <v>679</v>
      </c>
      <c r="X123" s="122"/>
      <c r="Y123" s="122"/>
      <c r="Z123" s="122"/>
      <c r="AA123" s="122"/>
      <c r="AB123" s="127">
        <v>29.1</v>
      </c>
      <c r="AC123" s="136" t="s">
        <v>1273</v>
      </c>
      <c r="AD123" s="122"/>
      <c r="AE123" s="127">
        <v>13.3</v>
      </c>
      <c r="AF123" s="136" t="s">
        <v>1273</v>
      </c>
      <c r="AG123" s="122"/>
      <c r="AH123" s="122">
        <v>8.1</v>
      </c>
      <c r="AI123" s="139" t="s">
        <v>707</v>
      </c>
      <c r="AJ123" s="122"/>
      <c r="AK123" s="122"/>
      <c r="AL123" s="122"/>
      <c r="AM123" s="122"/>
      <c r="AN123" s="122"/>
      <c r="AO123" s="122"/>
      <c r="AP123" s="121">
        <v>26</v>
      </c>
      <c r="AQ123" s="225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462"/>
      <c r="BB123" s="228"/>
      <c r="BC123" s="228"/>
      <c r="BD123" s="228"/>
      <c r="BE123" s="228"/>
      <c r="BF123" s="228"/>
      <c r="BG123" s="228"/>
      <c r="BH123" s="228"/>
      <c r="BI123" s="228"/>
      <c r="BJ123" s="570" t="str">
        <f ca="1">INDIRECT(ADDRESS(MATCH($B123,'【別紙1】標高（入力）'!$B:$B,0),'【別紙1】標高（入力）'!AJ$2,4,TRUE,"【別紙1】標高（入力）"))</f>
        <v/>
      </c>
      <c r="BK123" s="599" t="str">
        <f t="shared" si="22"/>
        <v>-</v>
      </c>
      <c r="BL123" s="605">
        <f t="shared" si="23"/>
        <v>92.7</v>
      </c>
      <c r="BM123" s="601" t="str">
        <f ca="1">INDIRECT(ADDRESS(MATCH($B123,'【別紙1】標高（入力）'!$B:$B,0),'【別紙1】標高（入力）'!$N$2,4,TRUE,"【別紙1】標高（入力）"))</f>
        <v>H16</v>
      </c>
      <c r="BN123" s="341">
        <f ca="1">INDIRECT(ADDRESS(MATCH($B123,'【別紙1】標高（入力）'!$B:$B,0),'【別紙1】標高（入力）'!$O$2,4,TRUE,"【別紙1】標高（入力）"))</f>
        <v>22.564800000000002</v>
      </c>
      <c r="BO123" s="393" t="s">
        <v>534</v>
      </c>
    </row>
    <row r="124" spans="1:67" ht="15.95" customHeight="1">
      <c r="A124" s="119">
        <v>809</v>
      </c>
      <c r="B124" s="107" t="s">
        <v>505</v>
      </c>
      <c r="C124" s="114" t="s">
        <v>196</v>
      </c>
      <c r="D124" s="110" t="s">
        <v>660</v>
      </c>
      <c r="E124" s="109" t="s">
        <v>213</v>
      </c>
      <c r="F124" s="111" t="s">
        <v>9</v>
      </c>
      <c r="G124" s="112" t="s">
        <v>10</v>
      </c>
      <c r="H124" s="112" t="s">
        <v>541</v>
      </c>
      <c r="I124" s="112" t="s">
        <v>141</v>
      </c>
      <c r="J124" s="112" t="s">
        <v>547</v>
      </c>
      <c r="K124" s="224"/>
      <c r="L124" s="228"/>
      <c r="M124" s="221"/>
      <c r="N124" s="136" t="s">
        <v>636</v>
      </c>
      <c r="O124" s="127">
        <v>-5.4</v>
      </c>
      <c r="P124" s="124">
        <v>15.1</v>
      </c>
      <c r="Q124" s="124">
        <v>1.9</v>
      </c>
      <c r="R124" s="124">
        <v>15.5</v>
      </c>
      <c r="S124" s="124">
        <v>-3.2</v>
      </c>
      <c r="T124" s="124">
        <v>-0.2</v>
      </c>
      <c r="U124" s="136" t="s">
        <v>636</v>
      </c>
      <c r="V124" s="127">
        <v>-0.5</v>
      </c>
      <c r="W124" s="136" t="s">
        <v>679</v>
      </c>
      <c r="X124" s="122"/>
      <c r="Y124" s="122"/>
      <c r="Z124" s="122"/>
      <c r="AA124" s="122"/>
      <c r="AB124" s="127">
        <v>25</v>
      </c>
      <c r="AC124" s="136" t="s">
        <v>1273</v>
      </c>
      <c r="AD124" s="122"/>
      <c r="AE124" s="127">
        <v>12.8</v>
      </c>
      <c r="AF124" s="136" t="s">
        <v>1273</v>
      </c>
      <c r="AG124" s="122"/>
      <c r="AH124" s="122">
        <v>6.9</v>
      </c>
      <c r="AI124" s="139" t="s">
        <v>707</v>
      </c>
      <c r="AJ124" s="122"/>
      <c r="AK124" s="122"/>
      <c r="AL124" s="122"/>
      <c r="AM124" s="122"/>
      <c r="AN124" s="122"/>
      <c r="AO124" s="122"/>
      <c r="AP124" s="121">
        <v>25</v>
      </c>
      <c r="AQ124" s="135" t="s">
        <v>1070</v>
      </c>
      <c r="AR124" s="122"/>
      <c r="AS124" s="122"/>
      <c r="AT124" s="122"/>
      <c r="AU124" s="122">
        <v>1.3</v>
      </c>
      <c r="AV124" s="139" t="s">
        <v>1071</v>
      </c>
      <c r="AW124" s="122"/>
      <c r="AX124" s="122"/>
      <c r="AY124" s="122">
        <v>3.7</v>
      </c>
      <c r="AZ124" s="139" t="s">
        <v>1069</v>
      </c>
      <c r="BA124" s="460">
        <v>-1.3</v>
      </c>
      <c r="BB124" s="139" t="s">
        <v>1068</v>
      </c>
      <c r="BC124" s="122"/>
      <c r="BD124" s="122">
        <f ca="1">INDIRECT(ADDRESS(MATCH($B124,'【別紙1】標高（入力）'!$B:$B,0),'【別紙1】標高（入力）'!AD$2,4,TRUE,"【別紙1】標高（入力）"))</f>
        <v>1.9999999999988916</v>
      </c>
      <c r="BE124" s="139" t="s">
        <v>1333</v>
      </c>
      <c r="BF124" s="121">
        <f ca="1">INDIRECT(ADDRESS(MATCH($B124,'【別紙1】標高（入力）'!$B:$B,0),'【別紙1】標高（入力）'!AF$2,4,TRUE,"【別紙1】標高（入力）"))</f>
        <v>0.70000000000192131</v>
      </c>
      <c r="BG124" s="139" t="s">
        <v>1073</v>
      </c>
      <c r="BH124" s="121">
        <f ca="1">INDIRECT(ADDRESS(MATCH($B124,'【別紙1】標高（入力）'!$B:$B,0),'【別紙1】標高（入力）'!AH$2,4,TRUE,"【別紙1】標高（入力）"))</f>
        <v>0.59999999999860165</v>
      </c>
      <c r="BI124" s="122"/>
      <c r="BJ124" s="624" t="str">
        <f ca="1">INDIRECT(ADDRESS(MATCH($B124,'【別紙1】標高（入力）'!$B:$B,0),'【別紙1】標高（入力）'!AJ$2,4,TRUE,"【別紙1】標高（入力）"))</f>
        <v/>
      </c>
      <c r="BK124" s="598" t="str">
        <f t="shared" ca="1" si="32"/>
        <v>-</v>
      </c>
      <c r="BL124" s="604">
        <f ca="1">SUM(K124:BI124)</f>
        <v>99.899999999999423</v>
      </c>
      <c r="BM124" s="600" t="str">
        <f ca="1">INDIRECT(ADDRESS(MATCH($B124,'【別紙1】標高（入力）'!$B:$B,0),'【別紙1】標高（入力）'!$N$2,4,TRUE,"【別紙1】標高（入力）"))</f>
        <v>R4</v>
      </c>
      <c r="BN124" s="340">
        <f ca="1">INDIRECT(ADDRESS(MATCH($B124,'【別紙1】標高（入力）'!$B:$B,0),'【別紙1】標高（入力）'!$O$2,4,TRUE,"【別紙1】標高（入力）"))</f>
        <v>16.7468</v>
      </c>
      <c r="BO124" s="392"/>
    </row>
    <row r="125" spans="1:67" ht="15.95" customHeight="1">
      <c r="A125" s="214">
        <v>810</v>
      </c>
      <c r="B125" s="215" t="s">
        <v>507</v>
      </c>
      <c r="C125" s="216" t="s">
        <v>196</v>
      </c>
      <c r="D125" s="217" t="s">
        <v>661</v>
      </c>
      <c r="E125" s="218" t="s">
        <v>215</v>
      </c>
      <c r="F125" s="219" t="s">
        <v>9</v>
      </c>
      <c r="G125" s="220" t="s">
        <v>10</v>
      </c>
      <c r="H125" s="220" t="s">
        <v>541</v>
      </c>
      <c r="I125" s="220" t="s">
        <v>54</v>
      </c>
      <c r="J125" s="220" t="s">
        <v>270</v>
      </c>
      <c r="K125" s="224"/>
      <c r="L125" s="228"/>
      <c r="M125" s="221"/>
      <c r="N125" s="136" t="s">
        <v>636</v>
      </c>
      <c r="O125" s="127">
        <v>21.7</v>
      </c>
      <c r="P125" s="124">
        <v>40.9</v>
      </c>
      <c r="Q125" s="124">
        <v>25.7</v>
      </c>
      <c r="R125" s="124">
        <v>24.8</v>
      </c>
      <c r="S125" s="124">
        <v>-2.1</v>
      </c>
      <c r="T125" s="123">
        <v>57.7</v>
      </c>
      <c r="U125" s="411" t="s">
        <v>1270</v>
      </c>
      <c r="V125" s="411" t="s">
        <v>1270</v>
      </c>
      <c r="W125" s="135" t="s">
        <v>679</v>
      </c>
      <c r="X125" s="122"/>
      <c r="Y125" s="122"/>
      <c r="Z125" s="122"/>
      <c r="AA125" s="122"/>
      <c r="AB125" s="127">
        <v>83</v>
      </c>
      <c r="AC125" s="136" t="s">
        <v>1273</v>
      </c>
      <c r="AD125" s="122"/>
      <c r="AE125" s="127">
        <v>48.5</v>
      </c>
      <c r="AF125" s="136" t="s">
        <v>1273</v>
      </c>
      <c r="AG125" s="122"/>
      <c r="AH125" s="122">
        <v>51.6</v>
      </c>
      <c r="AI125" s="139" t="s">
        <v>685</v>
      </c>
      <c r="AJ125" s="122"/>
      <c r="AK125" s="122"/>
      <c r="AL125" s="122"/>
      <c r="AM125" s="122"/>
      <c r="AN125" s="121">
        <v>19.600000000000001</v>
      </c>
      <c r="AO125" s="139" t="s">
        <v>637</v>
      </c>
      <c r="AP125" s="121">
        <v>18.899999999999999</v>
      </c>
      <c r="AQ125" s="135" t="s">
        <v>1070</v>
      </c>
      <c r="AR125" s="122"/>
      <c r="AS125" s="122"/>
      <c r="AT125" s="122"/>
      <c r="AU125" s="122">
        <v>7.9</v>
      </c>
      <c r="AV125" s="139" t="s">
        <v>1071</v>
      </c>
      <c r="AW125" s="122"/>
      <c r="AX125" s="122"/>
      <c r="AY125" s="122">
        <v>0.3</v>
      </c>
      <c r="AZ125" s="139" t="s">
        <v>1069</v>
      </c>
      <c r="BA125" s="460">
        <v>1</v>
      </c>
      <c r="BB125" s="225"/>
      <c r="BC125" s="228"/>
      <c r="BD125" s="228"/>
      <c r="BE125" s="228"/>
      <c r="BF125" s="228"/>
      <c r="BG125" s="228"/>
      <c r="BH125" s="228"/>
      <c r="BI125" s="228"/>
      <c r="BJ125" s="570" t="str">
        <f ca="1">INDIRECT(ADDRESS(MATCH($B125,'【別紙1】標高（入力）'!$B:$B,0),'【別紙1】標高（入力）'!AJ$2,4,TRUE,"【別紙1】標高（入力）"))</f>
        <v/>
      </c>
      <c r="BK125" s="599" t="str">
        <f t="shared" si="22"/>
        <v>-</v>
      </c>
      <c r="BL125" s="605">
        <f t="shared" si="23"/>
        <v>399.5</v>
      </c>
      <c r="BM125" s="601" t="str">
        <f ca="1">INDIRECT(ADDRESS(MATCH($B125,'【別紙1】標高（入力）'!$B:$B,0),'【別紙1】標高（入力）'!$N$2,4,TRUE,"【別紙1】標高（入力）"))</f>
        <v>H27</v>
      </c>
      <c r="BN125" s="341">
        <f ca="1">INDIRECT(ADDRESS(MATCH($B125,'【別紙1】標高（入力）'!$B:$B,0),'【別紙1】標高（入力）'!$O$2,4,TRUE,"【別紙1】標高（入力）"))</f>
        <v>7.6492000000000004</v>
      </c>
      <c r="BO125" s="393" t="s">
        <v>1377</v>
      </c>
    </row>
    <row r="126" spans="1:67" ht="15.95" customHeight="1">
      <c r="A126" s="119">
        <v>811</v>
      </c>
      <c r="B126" s="107" t="s">
        <v>509</v>
      </c>
      <c r="C126" s="114" t="s">
        <v>196</v>
      </c>
      <c r="D126" s="110" t="s">
        <v>325</v>
      </c>
      <c r="E126" s="109" t="s">
        <v>1436</v>
      </c>
      <c r="F126" s="111" t="s">
        <v>9</v>
      </c>
      <c r="G126" s="112" t="s">
        <v>10</v>
      </c>
      <c r="H126" s="112" t="s">
        <v>64</v>
      </c>
      <c r="I126" s="112" t="s">
        <v>54</v>
      </c>
      <c r="J126" s="112" t="s">
        <v>270</v>
      </c>
      <c r="K126" s="224"/>
      <c r="L126" s="228"/>
      <c r="M126" s="221"/>
      <c r="N126" s="136" t="s">
        <v>636</v>
      </c>
      <c r="O126" s="127">
        <v>67.400000000000006</v>
      </c>
      <c r="P126" s="124">
        <v>62.3</v>
      </c>
      <c r="Q126" s="124">
        <v>38.799999999999997</v>
      </c>
      <c r="R126" s="124">
        <v>24.3</v>
      </c>
      <c r="S126" s="124">
        <v>6.3</v>
      </c>
      <c r="T126" s="123">
        <v>28.1</v>
      </c>
      <c r="U126" s="411" t="s">
        <v>47</v>
      </c>
      <c r="V126" s="127">
        <v>65.099999999999994</v>
      </c>
      <c r="W126" s="136" t="s">
        <v>95</v>
      </c>
      <c r="X126" s="122"/>
      <c r="Y126" s="122"/>
      <c r="Z126" s="122"/>
      <c r="AA126" s="122"/>
      <c r="AB126" s="122"/>
      <c r="AC126" s="135"/>
      <c r="AD126" s="122"/>
      <c r="AE126" s="122"/>
      <c r="AF126" s="122"/>
      <c r="AG126" s="122"/>
      <c r="AH126" s="122">
        <v>254.1</v>
      </c>
      <c r="AI126" s="139" t="s">
        <v>525</v>
      </c>
      <c r="AJ126" s="122"/>
      <c r="AK126" s="127">
        <v>26.4</v>
      </c>
      <c r="AL126" s="136" t="s">
        <v>525</v>
      </c>
      <c r="AM126" s="122"/>
      <c r="AN126" s="121">
        <v>17.899999999999999</v>
      </c>
      <c r="AO126" s="139" t="s">
        <v>1072</v>
      </c>
      <c r="AP126" s="122"/>
      <c r="AQ126" s="122"/>
      <c r="AR126" s="122"/>
      <c r="AS126" s="122"/>
      <c r="AT126" s="122">
        <v>58.1</v>
      </c>
      <c r="AU126" s="125">
        <v>-1.2</v>
      </c>
      <c r="AV126" s="139" t="s">
        <v>1071</v>
      </c>
      <c r="AW126" s="122"/>
      <c r="AX126" s="122"/>
      <c r="AY126" s="122">
        <v>12.8</v>
      </c>
      <c r="AZ126" s="139" t="s">
        <v>1069</v>
      </c>
      <c r="BA126" s="460">
        <v>6</v>
      </c>
      <c r="BB126" s="139" t="s">
        <v>1068</v>
      </c>
      <c r="BC126" s="122"/>
      <c r="BD126" s="122">
        <f ca="1">INDIRECT(ADDRESS(MATCH($B126,'【別紙1】標高（入力）'!$B:$B,0),'【別紙1】標高（入力）'!AD$2,4,TRUE,"【別紙1】標高（入力）"))</f>
        <v>8.9000000000005741</v>
      </c>
      <c r="BE126" s="139" t="s">
        <v>1333</v>
      </c>
      <c r="BF126" s="121">
        <f ca="1">INDIRECT(ADDRESS(MATCH($B126,'【別紙1】標高（入力）'!$B:$B,0),'【別紙1】標高（入力）'!AF$2,4,TRUE,"【別紙1】標高（入力）"))</f>
        <v>15.799999999999592</v>
      </c>
      <c r="BG126" s="139" t="s">
        <v>1073</v>
      </c>
      <c r="BH126" s="121">
        <f ca="1">INDIRECT(ADDRESS(MATCH($B126,'【別紙1】標高（入力）'!$B:$B,0),'【別紙1】標高（入力）'!AH$2,4,TRUE,"【別紙1】標高（入力）"))</f>
        <v>3.5999999999996035</v>
      </c>
      <c r="BI126" s="122"/>
      <c r="BJ126" s="624" t="str">
        <f ca="1">INDIRECT(ADDRESS(MATCH($B126,'【別紙1】標高（入力）'!$B:$B,0),'【別紙1】標高（入力）'!AJ$2,4,TRUE,"【別紙1】標高（入力）"))</f>
        <v/>
      </c>
      <c r="BK126" s="598" t="str">
        <f t="shared" ca="1" si="32"/>
        <v>-</v>
      </c>
      <c r="BL126" s="604">
        <f ca="1">SUM(K126:BI126)</f>
        <v>694.69999999999959</v>
      </c>
      <c r="BM126" s="600" t="str">
        <f ca="1">INDIRECT(ADDRESS(MATCH($B126,'【別紙1】標高（入力）'!$B:$B,0),'【別紙1】標高（入力）'!$N$2,4,TRUE,"【別紙1】標高（入力）"))</f>
        <v>R4</v>
      </c>
      <c r="BN126" s="340">
        <f ca="1">INDIRECT(ADDRESS(MATCH($B126,'【別紙1】標高（入力）'!$B:$B,0),'【別紙1】標高（入力）'!$O$2,4,TRUE,"【別紙1】標高（入力）"))</f>
        <v>6.4301000000000004</v>
      </c>
      <c r="BO126" s="392"/>
    </row>
    <row r="127" spans="1:67" s="231" customFormat="1" ht="15.95" customHeight="1">
      <c r="A127" s="214">
        <v>812</v>
      </c>
      <c r="B127" s="215" t="s">
        <v>510</v>
      </c>
      <c r="C127" s="216" t="s">
        <v>196</v>
      </c>
      <c r="D127" s="217" t="s">
        <v>325</v>
      </c>
      <c r="E127" s="218" t="s">
        <v>1437</v>
      </c>
      <c r="F127" s="219" t="s">
        <v>9</v>
      </c>
      <c r="G127" s="220" t="s">
        <v>10</v>
      </c>
      <c r="H127" s="220" t="s">
        <v>64</v>
      </c>
      <c r="I127" s="220" t="s">
        <v>54</v>
      </c>
      <c r="J127" s="220" t="s">
        <v>270</v>
      </c>
      <c r="K127" s="224"/>
      <c r="L127" s="228"/>
      <c r="M127" s="221"/>
      <c r="N127" s="136" t="s">
        <v>636</v>
      </c>
      <c r="O127" s="127">
        <v>13.3</v>
      </c>
      <c r="P127" s="124">
        <v>14.8</v>
      </c>
      <c r="Q127" s="124">
        <v>7.1</v>
      </c>
      <c r="R127" s="124">
        <v>1.2</v>
      </c>
      <c r="S127" s="124">
        <v>-1.3</v>
      </c>
      <c r="T127" s="124">
        <v>11.3</v>
      </c>
      <c r="U127" s="124">
        <v>2.7</v>
      </c>
      <c r="V127" s="124">
        <v>14.2</v>
      </c>
      <c r="W127" s="136" t="s">
        <v>95</v>
      </c>
      <c r="X127" s="122"/>
      <c r="Y127" s="122"/>
      <c r="Z127" s="122"/>
      <c r="AA127" s="122"/>
      <c r="AB127" s="122"/>
      <c r="AC127" s="135"/>
      <c r="AD127" s="122"/>
      <c r="AE127" s="122"/>
      <c r="AF127" s="122"/>
      <c r="AG127" s="122"/>
      <c r="AH127" s="122">
        <v>59.8</v>
      </c>
      <c r="AI127" s="225"/>
      <c r="AJ127" s="228"/>
      <c r="AK127" s="228"/>
      <c r="AL127" s="228"/>
      <c r="AM127" s="228"/>
      <c r="AN127" s="232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462"/>
      <c r="BB127" s="228"/>
      <c r="BC127" s="228"/>
      <c r="BD127" s="228"/>
      <c r="BE127" s="228"/>
      <c r="BF127" s="228"/>
      <c r="BG127" s="228"/>
      <c r="BH127" s="228"/>
      <c r="BI127" s="228"/>
      <c r="BJ127" s="570" t="str">
        <f ca="1">INDIRECT(ADDRESS(MATCH($B127,'【別紙1】標高（入力）'!$B:$B,0),'【別紙1】標高（入力）'!AJ$2,4,TRUE,"【別紙1】標高（入力）"))</f>
        <v/>
      </c>
      <c r="BK127" s="599" t="str">
        <f t="shared" si="22"/>
        <v>-</v>
      </c>
      <c r="BL127" s="605">
        <f t="shared" si="23"/>
        <v>123.10000000000001</v>
      </c>
      <c r="BM127" s="603" t="s">
        <v>529</v>
      </c>
      <c r="BN127" s="344" t="s">
        <v>529</v>
      </c>
      <c r="BO127" s="393" t="s">
        <v>723</v>
      </c>
    </row>
    <row r="128" spans="1:67" ht="15.95" customHeight="1">
      <c r="A128" s="119">
        <v>813</v>
      </c>
      <c r="B128" s="107" t="s">
        <v>1181</v>
      </c>
      <c r="C128" s="114" t="s">
        <v>196</v>
      </c>
      <c r="D128" s="110" t="s">
        <v>325</v>
      </c>
      <c r="E128" s="109" t="s">
        <v>1438</v>
      </c>
      <c r="F128" s="111" t="s">
        <v>9</v>
      </c>
      <c r="G128" s="112" t="s">
        <v>555</v>
      </c>
      <c r="H128" s="112" t="s">
        <v>64</v>
      </c>
      <c r="I128" s="112" t="s">
        <v>54</v>
      </c>
      <c r="J128" s="112" t="s">
        <v>270</v>
      </c>
      <c r="K128" s="224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138" t="s">
        <v>289</v>
      </c>
      <c r="AQ128" s="228"/>
      <c r="AR128" s="228"/>
      <c r="AS128" s="229"/>
      <c r="AT128" s="139" t="s">
        <v>314</v>
      </c>
      <c r="AU128" s="126">
        <v>0.9</v>
      </c>
      <c r="AV128" s="139" t="s">
        <v>1071</v>
      </c>
      <c r="AW128" s="122"/>
      <c r="AX128" s="122"/>
      <c r="AY128" s="122">
        <v>16.8</v>
      </c>
      <c r="AZ128" s="125" t="s">
        <v>527</v>
      </c>
      <c r="BA128" s="460"/>
      <c r="BB128" s="122"/>
      <c r="BC128" s="122"/>
      <c r="BD128" s="122">
        <f ca="1">INDIRECT(ADDRESS(MATCH($B128,'【別紙1】標高（入力）'!$B:$B,0),'【別紙1】標高（入力）'!AD$2,4,TRUE,"【別紙1】標高（入力）"))</f>
        <v>14.600000000000612</v>
      </c>
      <c r="BE128" s="139" t="s">
        <v>1383</v>
      </c>
      <c r="BF128" s="122" t="str">
        <f ca="1">INDIRECT(ADDRESS(MATCH($B128,'【別紙1】標高（入力）'!$B:$B,0),'【別紙1】標高（入力）'!AF$2,4,TRUE,"【別紙1】標高（入力）"))</f>
        <v/>
      </c>
      <c r="BG128" s="122" t="str">
        <f ca="1">INDIRECT(ADDRESS(MATCH($B128,'【別紙1】標高（入力）'!$B:$B,0),'【別紙1】標高（入力）'!AG$2,4,TRUE,"【別紙1】標高（入力）"))</f>
        <v/>
      </c>
      <c r="BH128" s="121">
        <f ca="1">INDIRECT(ADDRESS(MATCH($B128,'【別紙1】標高（入力）'!$B:$B,0),'【別紙1】標高（入力）'!AH$2,4,TRUE,"【別紙1】標高（入力）"))</f>
        <v>21.700000000000053</v>
      </c>
      <c r="BI128" s="122"/>
      <c r="BJ128" s="624" t="str">
        <f ca="1">INDIRECT(ADDRESS(MATCH($B128,'【別紙1】標高（入力）'!$B:$B,0),'【別紙1】標高（入力）'!AJ$2,4,TRUE,"【別紙1】標高（入力）"))</f>
        <v/>
      </c>
      <c r="BK128" s="598" t="str">
        <f t="shared" ca="1" si="32"/>
        <v>-</v>
      </c>
      <c r="BL128" s="604">
        <f t="shared" ref="BL128:BL132" ca="1" si="36">SUM(K128:BI128)</f>
        <v>54.000000000000661</v>
      </c>
      <c r="BM128" s="600" t="str">
        <f ca="1">INDIRECT(ADDRESS(MATCH($B128,'【別紙1】標高（入力）'!$B:$B,0),'【別紙1】標高（入力）'!$N$2,4,TRUE,"【別紙1】標高（入力）"))</f>
        <v>R4</v>
      </c>
      <c r="BN128" s="340">
        <f ca="1">INDIRECT(ADDRESS(MATCH($B128,'【別紙1】標高（入力）'!$B:$B,0),'【別紙1】標高（入力）'!$O$2,4,TRUE,"【別紙1】標高（入力）"))</f>
        <v>4.2455999999999996</v>
      </c>
      <c r="BO128" s="392"/>
    </row>
    <row r="129" spans="1:67" ht="15.95" customHeight="1">
      <c r="A129" s="119">
        <v>814</v>
      </c>
      <c r="B129" s="107" t="s">
        <v>1182</v>
      </c>
      <c r="C129" s="114" t="s">
        <v>196</v>
      </c>
      <c r="D129" s="110" t="s">
        <v>704</v>
      </c>
      <c r="E129" s="109" t="s">
        <v>1439</v>
      </c>
      <c r="F129" s="111" t="s">
        <v>9</v>
      </c>
      <c r="G129" s="112" t="s">
        <v>343</v>
      </c>
      <c r="H129" s="112" t="s">
        <v>541</v>
      </c>
      <c r="I129" s="112" t="s">
        <v>141</v>
      </c>
      <c r="J129" s="112" t="s">
        <v>547</v>
      </c>
      <c r="K129" s="224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28"/>
      <c r="AO129" s="228"/>
      <c r="AP129" s="228"/>
      <c r="AQ129" s="138" t="s">
        <v>289</v>
      </c>
      <c r="AR129" s="228"/>
      <c r="AS129" s="228"/>
      <c r="AT129" s="228"/>
      <c r="AU129" s="138" t="s">
        <v>256</v>
      </c>
      <c r="AV129" s="135" t="s">
        <v>1072</v>
      </c>
      <c r="AW129" s="122"/>
      <c r="AX129" s="122"/>
      <c r="AY129" s="122"/>
      <c r="AZ129" s="122"/>
      <c r="BA129" s="459">
        <v>9.9</v>
      </c>
      <c r="BB129" s="135" t="s">
        <v>1336</v>
      </c>
      <c r="BC129" s="122"/>
      <c r="BD129" s="122" t="str">
        <f ca="1">INDIRECT(ADDRESS(MATCH($B129,'【別紙1】標高（入力）'!$B:$B,0),'【別紙1】標高（入力）'!AD$2,4,TRUE,"【別紙1】標高（入力）"))</f>
        <v/>
      </c>
      <c r="BE129" s="122" t="str">
        <f ca="1">INDIRECT(ADDRESS(MATCH($B129,'【別紙1】標高（入力）'!$B:$B,0),'【別紙1】標高（入力）'!AE$2,4,TRUE,"【別紙1】標高（入力）"))</f>
        <v/>
      </c>
      <c r="BF129" s="121">
        <f ca="1">INDIRECT(ADDRESS(MATCH($B129,'【別紙1】標高（入力）'!$B:$B,0),'【別紙1】標高（入力）'!AF$2,4,TRUE,"【別紙1】標高（入力）"))</f>
        <v>3.7999999999982492</v>
      </c>
      <c r="BG129" s="122" t="str">
        <f ca="1">INDIRECT(ADDRESS(MATCH($B129,'【別紙1】標高（入力）'!$B:$B,0),'【別紙1】標高（入力）'!AG$2,4,TRUE,"【別紙1】標高（入力）"))</f>
        <v/>
      </c>
      <c r="BH129" s="122" t="str">
        <f ca="1">INDIRECT(ADDRESS(MATCH($B129,'【別紙1】標高（入力）'!$B:$B,0),'【別紙1】標高（入力）'!AH$2,4,TRUE,"【別紙1】標高（入力）"))</f>
        <v/>
      </c>
      <c r="BI129" s="122"/>
      <c r="BJ129" s="567" t="str">
        <f ca="1">INDIRECT(ADDRESS(MATCH($B129,'【別紙1】標高（入力）'!$B:$B,0),'【別紙1】標高（入力）'!AJ$2,4,TRUE,"【別紙1】標高（入力）"))</f>
        <v/>
      </c>
      <c r="BK129" s="598" t="str">
        <f t="shared" ca="1" si="32"/>
        <v>-</v>
      </c>
      <c r="BL129" s="604">
        <f t="shared" ca="1" si="36"/>
        <v>13.69999999999825</v>
      </c>
      <c r="BM129" s="600" t="str">
        <f ca="1">INDIRECT(ADDRESS(MATCH($B129,'【別紙1】標高（入力）'!$B:$B,0),'【別紙1】標高（入力）'!$N$2,4,TRUE,"【別紙1】標高（入力）"))</f>
        <v>R2</v>
      </c>
      <c r="BN129" s="340">
        <f ca="1">INDIRECT(ADDRESS(MATCH($B129,'【別紙1】標高（入力）'!$B:$B,0),'【別紙1】標高（入力）'!$O$2,4,TRUE,"【別紙1】標高（入力）"))</f>
        <v>38.540500000000002</v>
      </c>
      <c r="BO129" s="392"/>
    </row>
    <row r="130" spans="1:67" ht="15.95" customHeight="1">
      <c r="A130" s="119">
        <v>815</v>
      </c>
      <c r="B130" s="107" t="s">
        <v>514</v>
      </c>
      <c r="C130" s="114" t="s">
        <v>196</v>
      </c>
      <c r="D130" s="110" t="s">
        <v>642</v>
      </c>
      <c r="E130" s="109" t="s">
        <v>1440</v>
      </c>
      <c r="F130" s="111" t="s">
        <v>9</v>
      </c>
      <c r="G130" s="112" t="s">
        <v>345</v>
      </c>
      <c r="H130" s="112" t="s">
        <v>541</v>
      </c>
      <c r="I130" s="112" t="s">
        <v>141</v>
      </c>
      <c r="J130" s="112" t="s">
        <v>547</v>
      </c>
      <c r="K130" s="224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138" t="s">
        <v>289</v>
      </c>
      <c r="AS130" s="228"/>
      <c r="AT130" s="228"/>
      <c r="AU130" s="138" t="s">
        <v>256</v>
      </c>
      <c r="AV130" s="122">
        <v>1.5</v>
      </c>
      <c r="AW130" s="139" t="s">
        <v>1070</v>
      </c>
      <c r="AX130" s="122"/>
      <c r="AY130" s="122"/>
      <c r="AZ130" s="122"/>
      <c r="BA130" s="459">
        <v>4.4000000000000004</v>
      </c>
      <c r="BB130" s="135" t="s">
        <v>1336</v>
      </c>
      <c r="BC130" s="122"/>
      <c r="BD130" s="122" t="str">
        <f ca="1">INDIRECT(ADDRESS(MATCH($B130,'【別紙1】標高（入力）'!$B:$B,0),'【別紙1】標高（入力）'!AD$2,4,TRUE,"【別紙1】標高（入力）"))</f>
        <v/>
      </c>
      <c r="BE130" s="122" t="str">
        <f ca="1">INDIRECT(ADDRESS(MATCH($B130,'【別紙1】標高（入力）'!$B:$B,0),'【別紙1】標高（入力）'!AE$2,4,TRUE,"【別紙1】標高（入力）"))</f>
        <v/>
      </c>
      <c r="BF130" s="121">
        <f ca="1">INDIRECT(ADDRESS(MATCH($B130,'【別紙1】標高（入力）'!$B:$B,0),'【別紙1】標高（入力）'!AF$2,4,TRUE,"【別紙1】標高（入力）"))</f>
        <v>1.300000000000523</v>
      </c>
      <c r="BG130" s="139" t="s">
        <v>1073</v>
      </c>
      <c r="BH130" s="121">
        <f ca="1">INDIRECT(ADDRESS(MATCH($B130,'【別紙1】標高（入力）'!$B:$B,0),'【別紙1】標高（入力）'!AH$2,4,TRUE,"【別紙1】標高（入力）"))</f>
        <v>-0.49999999999883471</v>
      </c>
      <c r="BI130" s="122"/>
      <c r="BJ130" s="624" t="str">
        <f ca="1">INDIRECT(ADDRESS(MATCH($B130,'【別紙1】標高（入力）'!$B:$B,0),'【別紙1】標高（入力）'!AJ$2,4,TRUE,"【別紙1】標高（入力）"))</f>
        <v/>
      </c>
      <c r="BK130" s="598" t="str">
        <f t="shared" ca="1" si="32"/>
        <v>-</v>
      </c>
      <c r="BL130" s="604">
        <f t="shared" ca="1" si="36"/>
        <v>6.7000000000016886</v>
      </c>
      <c r="BM130" s="600" t="str">
        <f ca="1">INDIRECT(ADDRESS(MATCH($B130,'【別紙1】標高（入力）'!$B:$B,0),'【別紙1】標高（入力）'!$N$2,4,TRUE,"【別紙1】標高（入力）"))</f>
        <v>R4</v>
      </c>
      <c r="BN130" s="340">
        <f ca="1">INDIRECT(ADDRESS(MATCH($B130,'【別紙1】標高（入力）'!$B:$B,0),'【別紙1】標高（入力）'!$O$2,4,TRUE,"【別紙1】標高（入力）"))</f>
        <v>31.727799999999998</v>
      </c>
      <c r="BO130" s="392"/>
    </row>
    <row r="131" spans="1:67" ht="15.95" customHeight="1">
      <c r="A131" s="119">
        <v>816</v>
      </c>
      <c r="B131" s="591">
        <v>3023</v>
      </c>
      <c r="C131" s="114" t="s">
        <v>196</v>
      </c>
      <c r="D131" s="596" t="s">
        <v>1130</v>
      </c>
      <c r="E131" s="109" t="s">
        <v>1441</v>
      </c>
      <c r="F131" s="111" t="s">
        <v>287</v>
      </c>
      <c r="G131" s="112" t="s">
        <v>543</v>
      </c>
      <c r="H131" s="112" t="s">
        <v>541</v>
      </c>
      <c r="I131" s="112" t="s">
        <v>544</v>
      </c>
      <c r="J131" s="112" t="s">
        <v>270</v>
      </c>
      <c r="K131" s="224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32"/>
      <c r="AJ131" s="228"/>
      <c r="AK131" s="228"/>
      <c r="AL131" s="228"/>
      <c r="AM131" s="228"/>
      <c r="AN131" s="228"/>
      <c r="AO131" s="228"/>
      <c r="AP131" s="232"/>
      <c r="AQ131" s="228"/>
      <c r="AR131" s="232"/>
      <c r="AS131" s="228"/>
      <c r="AT131" s="228"/>
      <c r="AU131" s="228"/>
      <c r="AV131" s="228"/>
      <c r="AW131" s="228"/>
      <c r="AX131" s="232"/>
      <c r="AY131" s="228"/>
      <c r="AZ131" s="228"/>
      <c r="BA131" s="462"/>
      <c r="BB131" s="228"/>
      <c r="BC131" s="228"/>
      <c r="BD131" s="139" t="s">
        <v>530</v>
      </c>
      <c r="BE131" s="139" t="s">
        <v>1333</v>
      </c>
      <c r="BF131" s="121">
        <f ca="1">INDIRECT(ADDRESS(MATCH($B131,'【別紙1】標高（入力）'!$B:$B,0),'【別紙1】標高（入力）'!AF$2,4,TRUE,"【別紙1】標高（入力）"))</f>
        <v>3.5999999999987153</v>
      </c>
      <c r="BG131" s="139" t="s">
        <v>1073</v>
      </c>
      <c r="BH131" s="121">
        <f ca="1">INDIRECT(ADDRESS(MATCH($B131,'【別紙1】標高（入力）'!$B:$B,0),'【別紙1】標高（入力）'!AH$2,4,TRUE,"【別紙1】標高（入力）"))</f>
        <v>-0.70000000000014495</v>
      </c>
      <c r="BI131" s="122"/>
      <c r="BJ131" s="624" t="str">
        <f ca="1">INDIRECT(ADDRESS(MATCH($B131,'【別紙1】標高（入力）'!$B:$B,0),'【別紙1】標高（入力）'!AJ$2,4,TRUE,"【別紙1】標高（入力）"))</f>
        <v/>
      </c>
      <c r="BK131" s="598" t="str">
        <f t="shared" ca="1" si="32"/>
        <v>-</v>
      </c>
      <c r="BL131" s="604">
        <f t="shared" ca="1" si="36"/>
        <v>2.8999999999985704</v>
      </c>
      <c r="BM131" s="600" t="str">
        <f ca="1">INDIRECT(ADDRESS(MATCH($B131,'【別紙1】標高（入力）'!$B:$B,0),'【別紙1】標高（入力）'!$N$2,4,TRUE,"【別紙1】標高（入力）"))</f>
        <v>R4</v>
      </c>
      <c r="BN131" s="340">
        <f ca="1">INDIRECT(ADDRESS(MATCH($B131,'【別紙1】標高（入力）'!$B:$B,0),'【別紙1】標高（入力）'!$O$2,4,TRUE,"【別紙1】標高（入力）"))</f>
        <v>9.8366000000000007</v>
      </c>
      <c r="BO131" s="392"/>
    </row>
    <row r="132" spans="1:67" ht="15.95" customHeight="1">
      <c r="A132" s="119">
        <v>901</v>
      </c>
      <c r="B132" s="107" t="s">
        <v>355</v>
      </c>
      <c r="C132" s="114" t="s">
        <v>217</v>
      </c>
      <c r="D132" s="110" t="s">
        <v>341</v>
      </c>
      <c r="E132" s="109" t="s">
        <v>219</v>
      </c>
      <c r="F132" s="111" t="s">
        <v>9</v>
      </c>
      <c r="G132" s="112" t="s">
        <v>31</v>
      </c>
      <c r="H132" s="112" t="s">
        <v>64</v>
      </c>
      <c r="I132" s="112" t="s">
        <v>220</v>
      </c>
      <c r="J132" s="112" t="s">
        <v>264</v>
      </c>
      <c r="K132" s="224"/>
      <c r="L132" s="228"/>
      <c r="M132" s="228"/>
      <c r="N132" s="228"/>
      <c r="O132" s="228"/>
      <c r="P132" s="221"/>
      <c r="Q132" s="124">
        <v>3.5</v>
      </c>
      <c r="R132" s="124">
        <v>-3.1</v>
      </c>
      <c r="S132" s="136" t="s">
        <v>636</v>
      </c>
      <c r="T132" s="127">
        <v>-2.7</v>
      </c>
      <c r="U132" s="136" t="s">
        <v>636</v>
      </c>
      <c r="V132" s="127">
        <v>6.1</v>
      </c>
      <c r="W132" s="136" t="s">
        <v>95</v>
      </c>
      <c r="X132" s="122"/>
      <c r="Y132" s="122"/>
      <c r="Z132" s="122"/>
      <c r="AA132" s="122"/>
      <c r="AB132" s="122"/>
      <c r="AC132" s="135"/>
      <c r="AD132" s="122"/>
      <c r="AE132" s="122"/>
      <c r="AF132" s="122"/>
      <c r="AG132" s="122"/>
      <c r="AH132" s="121">
        <v>-2.4</v>
      </c>
      <c r="AI132" s="139" t="s">
        <v>695</v>
      </c>
      <c r="AJ132" s="122"/>
      <c r="AK132" s="122"/>
      <c r="AL132" s="122"/>
      <c r="AM132" s="122"/>
      <c r="AN132" s="122"/>
      <c r="AO132" s="122">
        <v>0.3</v>
      </c>
      <c r="AP132" s="139" t="s">
        <v>636</v>
      </c>
      <c r="AQ132" s="122">
        <v>4.5</v>
      </c>
      <c r="AR132" s="139" t="s">
        <v>1072</v>
      </c>
      <c r="AS132" s="122"/>
      <c r="AT132" s="122"/>
      <c r="AU132" s="122"/>
      <c r="AV132" s="122"/>
      <c r="AW132" s="122">
        <v>-1</v>
      </c>
      <c r="AX132" s="139" t="s">
        <v>1070</v>
      </c>
      <c r="AY132" s="122"/>
      <c r="AZ132" s="122"/>
      <c r="BA132" s="460"/>
      <c r="BB132" s="121">
        <v>0.9</v>
      </c>
      <c r="BC132" s="139" t="s">
        <v>1070</v>
      </c>
      <c r="BD132" s="122"/>
      <c r="BE132" s="122"/>
      <c r="BF132" s="122" t="str">
        <f ca="1">INDIRECT(ADDRESS(MATCH($B132,'【別紙1】標高（入力）'!$B:$B,0),'【別紙1】標高（入力）'!AF$2,4,TRUE,"【別紙1】標高（入力）"))</f>
        <v/>
      </c>
      <c r="BG132" s="121">
        <f ca="1">INDIRECT(ADDRESS(MATCH($B132,'【別紙1】標高（入力）'!$B:$B,0),'【別紙1】標高（入力）'!AG$2,4,TRUE,"【別紙1】標高（入力）"))</f>
        <v>-5.3000000000000824</v>
      </c>
      <c r="BH132" s="125" t="str">
        <f ca="1">INDIRECT(ADDRESS(MATCH($B132,'【別紙1】標高（入力）'!$B:$B,0),'【別紙1】標高（入力）'!AH$2,4,TRUE,"【別紙1】標高（入力）"))</f>
        <v/>
      </c>
      <c r="BI132" s="122"/>
      <c r="BJ132" s="624" t="str">
        <f ca="1">INDIRECT(ADDRESS(MATCH($B132,'【別紙1】標高（入力）'!$B:$B,0),'【別紙1】標高（入力）'!AJ$2,4,TRUE,"【別紙1】標高（入力）"))</f>
        <v/>
      </c>
      <c r="BK132" s="598" t="str">
        <f t="shared" ca="1" si="32"/>
        <v>-</v>
      </c>
      <c r="BL132" s="604">
        <f t="shared" ca="1" si="36"/>
        <v>0.79999999999991722</v>
      </c>
      <c r="BM132" s="600" t="str">
        <f ca="1">INDIRECT(ADDRESS(MATCH($B132,'【別紙1】標高（入力）'!$B:$B,0),'【別紙1】標高（入力）'!$N$2,4,TRUE,"【別紙1】標高（入力）"))</f>
        <v>R3</v>
      </c>
      <c r="BN132" s="340">
        <f ca="1">INDIRECT(ADDRESS(MATCH($B132,'【別紙1】標高（入力）'!$B:$B,0),'【別紙1】標高（入力）'!$O$2,4,TRUE,"【別紙1】標高（入力）"))</f>
        <v>5.0468000000000002</v>
      </c>
      <c r="BO132" s="392"/>
    </row>
    <row r="133" spans="1:67" s="231" customFormat="1" ht="15.95" customHeight="1">
      <c r="A133" s="214">
        <v>902</v>
      </c>
      <c r="B133" s="215" t="s">
        <v>1183</v>
      </c>
      <c r="C133" s="216" t="s">
        <v>217</v>
      </c>
      <c r="D133" s="217" t="s">
        <v>341</v>
      </c>
      <c r="E133" s="218" t="s">
        <v>299</v>
      </c>
      <c r="F133" s="219" t="s">
        <v>9</v>
      </c>
      <c r="G133" s="220" t="s">
        <v>31</v>
      </c>
      <c r="H133" s="220" t="s">
        <v>64</v>
      </c>
      <c r="I133" s="220" t="s">
        <v>220</v>
      </c>
      <c r="J133" s="220" t="s">
        <v>264</v>
      </c>
      <c r="K133" s="224"/>
      <c r="L133" s="228"/>
      <c r="M133" s="228"/>
      <c r="N133" s="228"/>
      <c r="O133" s="228"/>
      <c r="P133" s="221"/>
      <c r="Q133" s="124">
        <v>6.3</v>
      </c>
      <c r="R133" s="124">
        <v>-1.4</v>
      </c>
      <c r="S133" s="136" t="s">
        <v>636</v>
      </c>
      <c r="T133" s="127">
        <v>-4.5999999999999996</v>
      </c>
      <c r="U133" s="136" t="s">
        <v>636</v>
      </c>
      <c r="V133" s="127">
        <v>7.5</v>
      </c>
      <c r="W133" s="233" t="s">
        <v>20</v>
      </c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462"/>
      <c r="BB133" s="228"/>
      <c r="BC133" s="228"/>
      <c r="BD133" s="228"/>
      <c r="BE133" s="228"/>
      <c r="BF133" s="228"/>
      <c r="BG133" s="228"/>
      <c r="BH133" s="228"/>
      <c r="BI133" s="228"/>
      <c r="BJ133" s="570" t="str">
        <f ca="1">INDIRECT(ADDRESS(MATCH($B133,'【別紙1】標高（入力）'!$B:$B,0),'【別紙1】標高（入力）'!AJ$2,4,TRUE,"【別紙1】標高（入力）"))</f>
        <v/>
      </c>
      <c r="BK133" s="599" t="str">
        <f t="shared" si="22"/>
        <v>-</v>
      </c>
      <c r="BL133" s="605">
        <f t="shared" si="23"/>
        <v>7.8000000000000007</v>
      </c>
      <c r="BM133" s="603" t="s">
        <v>529</v>
      </c>
      <c r="BN133" s="344" t="s">
        <v>529</v>
      </c>
      <c r="BO133" s="393" t="s">
        <v>729</v>
      </c>
    </row>
    <row r="134" spans="1:67" ht="15.95" customHeight="1">
      <c r="A134" s="119">
        <v>903</v>
      </c>
      <c r="B134" s="107" t="s">
        <v>357</v>
      </c>
      <c r="C134" s="114" t="s">
        <v>217</v>
      </c>
      <c r="D134" s="596" t="s">
        <v>1396</v>
      </c>
      <c r="E134" s="109" t="s">
        <v>222</v>
      </c>
      <c r="F134" s="111" t="s">
        <v>70</v>
      </c>
      <c r="G134" s="112" t="s">
        <v>223</v>
      </c>
      <c r="H134" s="112" t="s">
        <v>541</v>
      </c>
      <c r="I134" s="112" t="s">
        <v>220</v>
      </c>
      <c r="J134" s="112" t="s">
        <v>264</v>
      </c>
      <c r="K134" s="224"/>
      <c r="L134" s="228"/>
      <c r="M134" s="228"/>
      <c r="N134" s="228"/>
      <c r="O134" s="221"/>
      <c r="P134" s="124">
        <v>1.6</v>
      </c>
      <c r="Q134" s="124">
        <v>3.7</v>
      </c>
      <c r="R134" s="124">
        <v>3.2</v>
      </c>
      <c r="S134" s="124">
        <v>-4.7</v>
      </c>
      <c r="T134" s="124">
        <v>1.4</v>
      </c>
      <c r="U134" s="124">
        <v>2.8</v>
      </c>
      <c r="V134" s="124">
        <v>4.8</v>
      </c>
      <c r="W134" s="136" t="s">
        <v>679</v>
      </c>
      <c r="X134" s="122"/>
      <c r="Y134" s="122"/>
      <c r="Z134" s="122"/>
      <c r="AA134" s="122"/>
      <c r="AB134" s="127">
        <v>1.8</v>
      </c>
      <c r="AC134" s="136" t="s">
        <v>1273</v>
      </c>
      <c r="AD134" s="122"/>
      <c r="AE134" s="127">
        <v>16.899999999999999</v>
      </c>
      <c r="AF134" s="136" t="s">
        <v>1273</v>
      </c>
      <c r="AG134" s="122"/>
      <c r="AH134" s="122">
        <v>3.8</v>
      </c>
      <c r="AI134" s="139" t="s">
        <v>695</v>
      </c>
      <c r="AJ134" s="122"/>
      <c r="AK134" s="122"/>
      <c r="AL134" s="122"/>
      <c r="AM134" s="122"/>
      <c r="AN134" s="122"/>
      <c r="AO134" s="122">
        <v>10.3</v>
      </c>
      <c r="AP134" s="139" t="s">
        <v>636</v>
      </c>
      <c r="AQ134" s="122">
        <v>6.5</v>
      </c>
      <c r="AR134" s="139" t="s">
        <v>1072</v>
      </c>
      <c r="AS134" s="122"/>
      <c r="AT134" s="122"/>
      <c r="AU134" s="122"/>
      <c r="AV134" s="122"/>
      <c r="AW134" s="122">
        <v>6.4</v>
      </c>
      <c r="AX134" s="139" t="s">
        <v>1070</v>
      </c>
      <c r="AY134" s="122"/>
      <c r="AZ134" s="122"/>
      <c r="BA134" s="122"/>
      <c r="BB134" s="121">
        <v>-3.1</v>
      </c>
      <c r="BC134" s="139" t="s">
        <v>1070</v>
      </c>
      <c r="BD134" s="122" t="str">
        <f ca="1">INDIRECT(ADDRESS(MATCH($B134,'【別紙1】標高（入力）'!$B:$B,0),'【別紙1】標高（入力）'!AD$2,4,TRUE,"【別紙1】標高（入力）"))</f>
        <v/>
      </c>
      <c r="BE134" s="122" t="str">
        <f ca="1">INDIRECT(ADDRESS(MATCH($B134,'【別紙1】標高（入力）'!$B:$B,0),'【別紙1】標高（入力）'!AE$2,4,TRUE,"【別紙1】標高（入力）"))</f>
        <v/>
      </c>
      <c r="BF134" s="122" t="str">
        <f ca="1">INDIRECT(ADDRESS(MATCH($B134,'【別紙1】標高（入力）'!$B:$B,0),'【別紙1】標高（入力）'!AF$2,4,TRUE,"【別紙1】標高（入力）"))</f>
        <v/>
      </c>
      <c r="BG134" s="121">
        <f ca="1">INDIRECT(ADDRESS(MATCH($B134,'【別紙1】標高（入力）'!$B:$B,0),'【別紙1】標高（入力）'!AG$2,4,TRUE,"【別紙1】標高（入力）"))</f>
        <v>-3.7000000000002586</v>
      </c>
      <c r="BH134" s="660" t="s">
        <v>1552</v>
      </c>
      <c r="BI134" s="632"/>
      <c r="BJ134" s="569">
        <f ca="1">INDIRECT(ADDRESS(MATCH($B134,'【別紙1】標高（入力）'!$B:$B,0),'【別紙1】標高（入力）'!AJ$2,4,TRUE,"【別紙1】標高（入力）"))</f>
        <v>2.3999999999997357</v>
      </c>
      <c r="BK134" s="598" t="str">
        <f t="shared" si="32"/>
        <v>-</v>
      </c>
      <c r="BL134" s="604">
        <f t="shared" ref="BL134:BL145" ca="1" si="37">SUM(K134:BI134)</f>
        <v>51.699999999999733</v>
      </c>
      <c r="BM134" s="600" t="str">
        <f ca="1">INDIRECT(ADDRESS(MATCH($B134,'【別紙1】標高（入力）'!$B:$B,0),'【別紙1】標高（入力）'!$N$2,4,TRUE,"【別紙1】標高（入力）"))</f>
        <v>R3</v>
      </c>
      <c r="BN134" s="340">
        <f ca="1">INDIRECT(ADDRESS(MATCH($B134,'【別紙1】標高（入力）'!$B:$B,0),'【別紙1】標高（入力）'!$O$2,4,TRUE,"【別紙1】標高（入力）"))</f>
        <v>4.4196</v>
      </c>
      <c r="BO134" s="392"/>
    </row>
    <row r="135" spans="1:67" ht="15.95" customHeight="1">
      <c r="A135" s="119">
        <v>904</v>
      </c>
      <c r="B135" s="591">
        <v>7402</v>
      </c>
      <c r="C135" s="114" t="s">
        <v>217</v>
      </c>
      <c r="D135" s="596" t="s">
        <v>1397</v>
      </c>
      <c r="E135" s="597" t="s">
        <v>1442</v>
      </c>
      <c r="F135" s="111" t="s">
        <v>12</v>
      </c>
      <c r="G135" s="112" t="s">
        <v>31</v>
      </c>
      <c r="H135" s="112" t="s">
        <v>541</v>
      </c>
      <c r="I135" s="112" t="s">
        <v>539</v>
      </c>
      <c r="J135" s="112" t="s">
        <v>293</v>
      </c>
      <c r="K135" s="224"/>
      <c r="L135" s="228"/>
      <c r="M135" s="228"/>
      <c r="N135" s="228"/>
      <c r="O135" s="228"/>
      <c r="P135" s="221"/>
      <c r="Q135" s="124">
        <v>1.9</v>
      </c>
      <c r="R135" s="124">
        <v>-1.9</v>
      </c>
      <c r="S135" s="136" t="s">
        <v>636</v>
      </c>
      <c r="T135" s="127">
        <v>-4.4000000000000004</v>
      </c>
      <c r="U135" s="136" t="s">
        <v>636</v>
      </c>
      <c r="V135" s="127">
        <v>1.1000000000000001</v>
      </c>
      <c r="W135" s="136" t="s">
        <v>679</v>
      </c>
      <c r="X135" s="122"/>
      <c r="Y135" s="122"/>
      <c r="Z135" s="122"/>
      <c r="AA135" s="122"/>
      <c r="AB135" s="127">
        <v>3.6</v>
      </c>
      <c r="AC135" s="136" t="s">
        <v>1273</v>
      </c>
      <c r="AD135" s="122"/>
      <c r="AE135" s="127">
        <v>16.5</v>
      </c>
      <c r="AF135" s="136" t="s">
        <v>1273</v>
      </c>
      <c r="AG135" s="122"/>
      <c r="AH135" s="122">
        <v>-4.8</v>
      </c>
      <c r="AI135" s="139" t="s">
        <v>695</v>
      </c>
      <c r="AJ135" s="122"/>
      <c r="AK135" s="122"/>
      <c r="AL135" s="122"/>
      <c r="AM135" s="122"/>
      <c r="AN135" s="122"/>
      <c r="AO135" s="122">
        <v>4.5999999999999996</v>
      </c>
      <c r="AP135" s="139" t="s">
        <v>636</v>
      </c>
      <c r="AQ135" s="122">
        <v>4.7</v>
      </c>
      <c r="AR135" s="139" t="s">
        <v>1072</v>
      </c>
      <c r="AS135" s="122"/>
      <c r="AT135" s="122"/>
      <c r="AU135" s="122"/>
      <c r="AV135" s="122"/>
      <c r="AW135" s="122">
        <v>4.8</v>
      </c>
      <c r="AX135" s="139" t="s">
        <v>1070</v>
      </c>
      <c r="AY135" s="122"/>
      <c r="AZ135" s="122"/>
      <c r="BA135" s="122"/>
      <c r="BB135" s="121">
        <v>4.5999999999999996</v>
      </c>
      <c r="BC135" s="139" t="s">
        <v>1070</v>
      </c>
      <c r="BD135" s="122" t="str">
        <f ca="1">INDIRECT(ADDRESS(MATCH($B135,'【別紙1】標高（入力）'!$B:$B,0),'【別紙1】標高（入力）'!AD$2,4,TRUE,"【別紙1】標高（入力）"))</f>
        <v/>
      </c>
      <c r="BE135" s="122" t="str">
        <f ca="1">INDIRECT(ADDRESS(MATCH($B135,'【別紙1】標高（入力）'!$B:$B,0),'【別紙1】標高（入力）'!AE$2,4,TRUE,"【別紙1】標高（入力）"))</f>
        <v/>
      </c>
      <c r="BF135" s="122" t="str">
        <f ca="1">INDIRECT(ADDRESS(MATCH($B135,'【別紙1】標高（入力）'!$B:$B,0),'【別紙1】標高（入力）'!AF$2,4,TRUE,"【別紙1】標高（入力）"))</f>
        <v/>
      </c>
      <c r="BG135" s="121">
        <f ca="1">INDIRECT(ADDRESS(MATCH($B135,'【別紙1】標高（入力）'!$B:$B,0),'【別紙1】標高（入力）'!AG$2,4,TRUE,"【別紙1】標高（入力）"))</f>
        <v>2.6000000000010459</v>
      </c>
      <c r="BH135" s="125"/>
      <c r="BI135" s="122"/>
      <c r="BJ135" s="624" t="str">
        <f ca="1">INDIRECT(ADDRESS(MATCH($B135,'【別紙1】標高（入力）'!$B:$B,0),'【別紙1】標高（入力）'!AJ$2,4,TRUE,"【別紙1】標高（入力）"))</f>
        <v/>
      </c>
      <c r="BK135" s="598" t="str">
        <f t="shared" si="32"/>
        <v>-</v>
      </c>
      <c r="BL135" s="604">
        <f t="shared" ca="1" si="37"/>
        <v>33.300000000001049</v>
      </c>
      <c r="BM135" s="600" t="str">
        <f ca="1">INDIRECT(ADDRESS(MATCH($B135,'【別紙1】標高（入力）'!$B:$B,0),'【別紙1】標高（入力）'!$N$2,4,TRUE,"【別紙1】標高（入力）"))</f>
        <v>R3</v>
      </c>
      <c r="BN135" s="340">
        <f ca="1">INDIRECT(ADDRESS(MATCH($B135,'【別紙1】標高（入力）'!$B:$B,0),'【別紙1】標高（入力）'!$O$2,4,TRUE,"【別紙1】標高（入力）"))</f>
        <v>17.320599999999999</v>
      </c>
      <c r="BO135" s="392"/>
    </row>
    <row r="136" spans="1:67" ht="15.95" customHeight="1">
      <c r="A136" s="119">
        <v>905</v>
      </c>
      <c r="B136" s="591">
        <v>7403</v>
      </c>
      <c r="C136" s="114" t="s">
        <v>217</v>
      </c>
      <c r="D136" s="596" t="s">
        <v>1398</v>
      </c>
      <c r="E136" s="597" t="s">
        <v>346</v>
      </c>
      <c r="F136" s="111" t="s">
        <v>12</v>
      </c>
      <c r="G136" s="112" t="s">
        <v>31</v>
      </c>
      <c r="H136" s="112" t="s">
        <v>541</v>
      </c>
      <c r="I136" s="112" t="s">
        <v>284</v>
      </c>
      <c r="J136" s="112" t="s">
        <v>293</v>
      </c>
      <c r="K136" s="224"/>
      <c r="L136" s="228"/>
      <c r="M136" s="228"/>
      <c r="N136" s="228"/>
      <c r="O136" s="228"/>
      <c r="P136" s="221"/>
      <c r="Q136" s="124">
        <v>1.1000000000000001</v>
      </c>
      <c r="R136" s="124">
        <v>0.3</v>
      </c>
      <c r="S136" s="136" t="s">
        <v>636</v>
      </c>
      <c r="T136" s="127">
        <v>-4.3</v>
      </c>
      <c r="U136" s="136" t="s">
        <v>636</v>
      </c>
      <c r="V136" s="127">
        <v>-0.2</v>
      </c>
      <c r="W136" s="224"/>
      <c r="X136" s="228"/>
      <c r="Y136" s="228"/>
      <c r="Z136" s="228"/>
      <c r="AA136" s="228"/>
      <c r="AB136" s="411" t="s">
        <v>47</v>
      </c>
      <c r="AC136" s="135" t="s">
        <v>1273</v>
      </c>
      <c r="AD136" s="122"/>
      <c r="AE136" s="127">
        <v>4.0999999999999996</v>
      </c>
      <c r="AF136" s="136" t="s">
        <v>1273</v>
      </c>
      <c r="AG136" s="122"/>
      <c r="AH136" s="122">
        <v>-5.8</v>
      </c>
      <c r="AI136" s="225" t="s">
        <v>247</v>
      </c>
      <c r="AJ136" s="228"/>
      <c r="AK136" s="138" t="s">
        <v>260</v>
      </c>
      <c r="AL136" s="228"/>
      <c r="AM136" s="228"/>
      <c r="AN136" s="228"/>
      <c r="AO136" s="138" t="s">
        <v>256</v>
      </c>
      <c r="AP136" s="135" t="s">
        <v>636</v>
      </c>
      <c r="AQ136" s="122">
        <v>4</v>
      </c>
      <c r="AR136" s="139" t="s">
        <v>1072</v>
      </c>
      <c r="AS136" s="122"/>
      <c r="AT136" s="122"/>
      <c r="AU136" s="122"/>
      <c r="AV136" s="122"/>
      <c r="AW136" s="122">
        <v>-2.7</v>
      </c>
      <c r="AX136" s="139" t="s">
        <v>1070</v>
      </c>
      <c r="AY136" s="122"/>
      <c r="AZ136" s="122"/>
      <c r="BA136" s="122"/>
      <c r="BB136" s="121">
        <v>1.2</v>
      </c>
      <c r="BC136" s="139" t="s">
        <v>1070</v>
      </c>
      <c r="BD136" s="122" t="str">
        <f ca="1">INDIRECT(ADDRESS(MATCH($B136,'【別紙1】標高（入力）'!$B:$B,0),'【別紙1】標高（入力）'!AD$2,4,TRUE,"【別紙1】標高（入力）"))</f>
        <v/>
      </c>
      <c r="BE136" s="122" t="str">
        <f ca="1">INDIRECT(ADDRESS(MATCH($B136,'【別紙1】標高（入力）'!$B:$B,0),'【別紙1】標高（入力）'!AE$2,4,TRUE,"【別紙1】標高（入力）"))</f>
        <v/>
      </c>
      <c r="BF136" s="122" t="str">
        <f ca="1">INDIRECT(ADDRESS(MATCH($B136,'【別紙1】標高（入力）'!$B:$B,0),'【別紙1】標高（入力）'!AF$2,4,TRUE,"【別紙1】標高（入力）"))</f>
        <v/>
      </c>
      <c r="BG136" s="121">
        <f ca="1">INDIRECT(ADDRESS(MATCH($B136,'【別紙1】標高（入力）'!$B:$B,0),'【別紙1】標高（入力）'!AG$2,4,TRUE,"【別紙1】標高（入力）"))</f>
        <v>0.29999999999930083</v>
      </c>
      <c r="BH136" s="660" t="s">
        <v>1552</v>
      </c>
      <c r="BI136" s="632"/>
      <c r="BJ136" s="569">
        <f ca="1">INDIRECT(ADDRESS(MATCH($B136,'【別紙1】標高（入力）'!$B:$B,0),'【別紙1】標高（入力）'!AJ$2,4,TRUE,"【別紙1】標高（入力）"))</f>
        <v>0.30000000000107718</v>
      </c>
      <c r="BK136" s="598" t="str">
        <f t="shared" si="32"/>
        <v>-</v>
      </c>
      <c r="BL136" s="604">
        <f t="shared" ca="1" si="37"/>
        <v>-2.000000000000699</v>
      </c>
      <c r="BM136" s="600" t="str">
        <f ca="1">INDIRECT(ADDRESS(MATCH($B136,'【別紙1】標高（入力）'!$B:$B,0),'【別紙1】標高（入力）'!$N$2,4,TRUE,"【別紙1】標高（入力）"))</f>
        <v>R3</v>
      </c>
      <c r="BN136" s="340">
        <f ca="1">INDIRECT(ADDRESS(MATCH($B136,'【別紙1】標高（入力）'!$B:$B,0),'【別紙1】標高（入力）'!$O$2,4,TRUE,"【別紙1】標高（入力）"))</f>
        <v>14.526300000000001</v>
      </c>
      <c r="BO136" s="392"/>
    </row>
    <row r="137" spans="1:67" ht="15.95" customHeight="1">
      <c r="A137" s="119">
        <v>906</v>
      </c>
      <c r="B137" s="591">
        <v>7404</v>
      </c>
      <c r="C137" s="114" t="s">
        <v>217</v>
      </c>
      <c r="D137" s="110" t="s">
        <v>674</v>
      </c>
      <c r="E137" s="597" t="s">
        <v>1443</v>
      </c>
      <c r="F137" s="111" t="s">
        <v>12</v>
      </c>
      <c r="G137" s="112" t="s">
        <v>223</v>
      </c>
      <c r="H137" s="112" t="s">
        <v>541</v>
      </c>
      <c r="I137" s="112" t="s">
        <v>284</v>
      </c>
      <c r="J137" s="112" t="s">
        <v>293</v>
      </c>
      <c r="K137" s="224"/>
      <c r="L137" s="228"/>
      <c r="M137" s="228"/>
      <c r="N137" s="228"/>
      <c r="O137" s="221"/>
      <c r="P137" s="124">
        <v>0.3</v>
      </c>
      <c r="Q137" s="124">
        <v>0.5</v>
      </c>
      <c r="R137" s="124">
        <v>2</v>
      </c>
      <c r="S137" s="124">
        <v>-5.3</v>
      </c>
      <c r="T137" s="124">
        <v>1.5</v>
      </c>
      <c r="U137" s="124">
        <v>-0.3</v>
      </c>
      <c r="V137" s="124">
        <v>2.4</v>
      </c>
      <c r="W137" s="136" t="s">
        <v>679</v>
      </c>
      <c r="X137" s="122"/>
      <c r="Y137" s="122"/>
      <c r="Z137" s="122"/>
      <c r="AA137" s="122"/>
      <c r="AB137" s="127">
        <v>-0.4</v>
      </c>
      <c r="AC137" s="136" t="s">
        <v>1273</v>
      </c>
      <c r="AD137" s="122"/>
      <c r="AE137" s="127">
        <v>5.3</v>
      </c>
      <c r="AF137" s="136" t="s">
        <v>1273</v>
      </c>
      <c r="AG137" s="122"/>
      <c r="AH137" s="122">
        <v>-5.6</v>
      </c>
      <c r="AI137" s="139" t="s">
        <v>695</v>
      </c>
      <c r="AJ137" s="122"/>
      <c r="AK137" s="122"/>
      <c r="AL137" s="122"/>
      <c r="AM137" s="122"/>
      <c r="AN137" s="122"/>
      <c r="AO137" s="122">
        <v>3.7</v>
      </c>
      <c r="AP137" s="139" t="s">
        <v>636</v>
      </c>
      <c r="AQ137" s="122">
        <v>5.2</v>
      </c>
      <c r="AR137" s="139" t="s">
        <v>1072</v>
      </c>
      <c r="AS137" s="122"/>
      <c r="AT137" s="122"/>
      <c r="AU137" s="122"/>
      <c r="AV137" s="122"/>
      <c r="AW137" s="122">
        <v>-0.6</v>
      </c>
      <c r="AX137" s="139" t="s">
        <v>1070</v>
      </c>
      <c r="AY137" s="122"/>
      <c r="AZ137" s="122"/>
      <c r="BA137" s="122"/>
      <c r="BB137" s="121">
        <v>-4</v>
      </c>
      <c r="BC137" s="139" t="s">
        <v>1070</v>
      </c>
      <c r="BD137" s="122" t="str">
        <f ca="1">INDIRECT(ADDRESS(MATCH($B137,'【別紙1】標高（入力）'!$B:$B,0),'【別紙1】標高（入力）'!AD$2,4,TRUE,"【別紙1】標高（入力）"))</f>
        <v/>
      </c>
      <c r="BE137" s="122" t="str">
        <f ca="1">INDIRECT(ADDRESS(MATCH($B137,'【別紙1】標高（入力）'!$B:$B,0),'【別紙1】標高（入力）'!AE$2,4,TRUE,"【別紙1】標高（入力）"))</f>
        <v/>
      </c>
      <c r="BF137" s="122" t="str">
        <f ca="1">INDIRECT(ADDRESS(MATCH($B137,'【別紙1】標高（入力）'!$B:$B,0),'【別紙1】標高（入力）'!AF$2,4,TRUE,"【別紙1】標高（入力）"))</f>
        <v/>
      </c>
      <c r="BG137" s="121">
        <f ca="1">INDIRECT(ADDRESS(MATCH($B137,'【別紙1】標高（入力）'!$B:$B,0),'【別紙1】標高（入力）'!AG$2,4,TRUE,"【別紙1】標高（入力）"))</f>
        <v>-3.0999999999998806</v>
      </c>
      <c r="BH137" s="125"/>
      <c r="BI137" s="138" t="s">
        <v>1554</v>
      </c>
      <c r="BJ137" s="569">
        <v>0</v>
      </c>
      <c r="BK137" s="598" t="str">
        <f t="shared" si="32"/>
        <v>-</v>
      </c>
      <c r="BL137" s="604">
        <f t="shared" ca="1" si="37"/>
        <v>1.6000000000001204</v>
      </c>
      <c r="BM137" s="600" t="str">
        <f ca="1">INDIRECT(ADDRESS(MATCH($B137,'【別紙1】標高（入力）'!$B:$B,0),'【別紙1】標高（入力）'!$N$2,4,TRUE,"【別紙1】標高（入力）"))</f>
        <v>R3</v>
      </c>
      <c r="BN137" s="340">
        <f ca="1">INDIRECT(ADDRESS(MATCH($B137,'【別紙1】標高（入力）'!$B:$B,0),'【別紙1】標高（入力）'!$O$2,4,TRUE,"【別紙1】標高（入力）"))</f>
        <v>11.178599999999999</v>
      </c>
      <c r="BO137" s="392" t="s">
        <v>1555</v>
      </c>
    </row>
    <row r="138" spans="1:67" ht="15.95" customHeight="1">
      <c r="A138" s="119">
        <v>907</v>
      </c>
      <c r="B138" s="107" t="s">
        <v>523</v>
      </c>
      <c r="C138" s="114" t="s">
        <v>217</v>
      </c>
      <c r="D138" s="110" t="s">
        <v>581</v>
      </c>
      <c r="E138" s="109" t="s">
        <v>230</v>
      </c>
      <c r="F138" s="111" t="s">
        <v>12</v>
      </c>
      <c r="G138" s="112" t="s">
        <v>10</v>
      </c>
      <c r="H138" s="112" t="s">
        <v>541</v>
      </c>
      <c r="I138" s="112" t="s">
        <v>284</v>
      </c>
      <c r="J138" s="112" t="s">
        <v>293</v>
      </c>
      <c r="K138" s="224"/>
      <c r="L138" s="228"/>
      <c r="M138" s="221"/>
      <c r="N138" s="124">
        <v>-10.8</v>
      </c>
      <c r="O138" s="124">
        <v>13.2</v>
      </c>
      <c r="P138" s="124">
        <v>-0.6</v>
      </c>
      <c r="Q138" s="124">
        <v>0.3</v>
      </c>
      <c r="R138" s="124">
        <v>0.6</v>
      </c>
      <c r="S138" s="124">
        <v>-2.7</v>
      </c>
      <c r="T138" s="124">
        <v>1.1000000000000001</v>
      </c>
      <c r="U138" s="124">
        <v>3.1</v>
      </c>
      <c r="V138" s="124">
        <v>3.1</v>
      </c>
      <c r="W138" s="136" t="s">
        <v>679</v>
      </c>
      <c r="X138" s="122"/>
      <c r="Y138" s="122"/>
      <c r="Z138" s="122"/>
      <c r="AA138" s="122"/>
      <c r="AB138" s="127">
        <v>1.8</v>
      </c>
      <c r="AC138" s="136" t="s">
        <v>1273</v>
      </c>
      <c r="AD138" s="122"/>
      <c r="AE138" s="127">
        <v>7</v>
      </c>
      <c r="AF138" s="136" t="s">
        <v>1273</v>
      </c>
      <c r="AG138" s="122"/>
      <c r="AH138" s="122">
        <v>-4.3</v>
      </c>
      <c r="AI138" s="139" t="s">
        <v>695</v>
      </c>
      <c r="AJ138" s="122"/>
      <c r="AK138" s="122"/>
      <c r="AL138" s="122"/>
      <c r="AM138" s="122"/>
      <c r="AN138" s="122"/>
      <c r="AO138" s="122">
        <v>3</v>
      </c>
      <c r="AP138" s="139" t="s">
        <v>636</v>
      </c>
      <c r="AQ138" s="122">
        <v>3.9</v>
      </c>
      <c r="AR138" s="139" t="s">
        <v>1072</v>
      </c>
      <c r="AS138" s="122"/>
      <c r="AT138" s="122"/>
      <c r="AU138" s="122"/>
      <c r="AV138" s="122"/>
      <c r="AW138" s="122">
        <v>-0.6</v>
      </c>
      <c r="AX138" s="139" t="s">
        <v>1070</v>
      </c>
      <c r="AY138" s="122"/>
      <c r="AZ138" s="122"/>
      <c r="BA138" s="122"/>
      <c r="BB138" s="121">
        <v>1.2</v>
      </c>
      <c r="BC138" s="139" t="s">
        <v>1070</v>
      </c>
      <c r="BD138" s="122" t="str">
        <f ca="1">INDIRECT(ADDRESS(MATCH($B138,'【別紙1】標高（入力）'!$B:$B,0),'【別紙1】標高（入力）'!AD$2,4,TRUE,"【別紙1】標高（入力）"))</f>
        <v/>
      </c>
      <c r="BE138" s="122" t="str">
        <f ca="1">INDIRECT(ADDRESS(MATCH($B138,'【別紙1】標高（入力）'!$B:$B,0),'【別紙1】標高（入力）'!AE$2,4,TRUE,"【別紙1】標高（入力）"))</f>
        <v/>
      </c>
      <c r="BF138" s="122" t="str">
        <f ca="1">INDIRECT(ADDRESS(MATCH($B138,'【別紙1】標高（入力）'!$B:$B,0),'【別紙1】標高（入力）'!AF$2,4,TRUE,"【別紙1】標高（入力）"))</f>
        <v/>
      </c>
      <c r="BG138" s="121">
        <f ca="1">INDIRECT(ADDRESS(MATCH($B138,'【別紙1】標高（入力）'!$B:$B,0),'【別紙1】標高（入力）'!AG$2,4,TRUE,"【別紙1】標高（入力）"))</f>
        <v>3.8000000000018019</v>
      </c>
      <c r="BH138" s="660" t="s">
        <v>1552</v>
      </c>
      <c r="BI138" s="632"/>
      <c r="BJ138" s="569">
        <f ca="1">INDIRECT(ADDRESS(MATCH($B138,'【別紙1】標高（入力）'!$B:$B,0),'【別紙1】標高（入力）'!AJ$2,4,TRUE,"【別紙1】標高（入力）"))</f>
        <v>0.59999999999860165</v>
      </c>
      <c r="BK138" s="598" t="str">
        <f t="shared" si="32"/>
        <v>-</v>
      </c>
      <c r="BL138" s="604">
        <f t="shared" ca="1" si="37"/>
        <v>23.100000000001799</v>
      </c>
      <c r="BM138" s="600" t="str">
        <f ca="1">INDIRECT(ADDRESS(MATCH($B138,'【別紙1】標高（入力）'!$B:$B,0),'【別紙1】標高（入力）'!$N$2,4,TRUE,"【別紙1】標高（入力）"))</f>
        <v>R3</v>
      </c>
      <c r="BN138" s="340">
        <f ca="1">INDIRECT(ADDRESS(MATCH($B138,'【別紙1】標高（入力）'!$B:$B,0),'【別紙1】標高（入力）'!$O$2,4,TRUE,"【別紙1】標高（入力）"))</f>
        <v>25.3736</v>
      </c>
      <c r="BO138" s="392"/>
    </row>
    <row r="139" spans="1:67" ht="15.95" customHeight="1">
      <c r="A139" s="119">
        <v>908</v>
      </c>
      <c r="B139" s="107" t="s">
        <v>359</v>
      </c>
      <c r="C139" s="114" t="s">
        <v>217</v>
      </c>
      <c r="D139" s="110" t="s">
        <v>705</v>
      </c>
      <c r="E139" s="597" t="s">
        <v>1444</v>
      </c>
      <c r="F139" s="111" t="s">
        <v>9</v>
      </c>
      <c r="G139" s="112" t="s">
        <v>10</v>
      </c>
      <c r="H139" s="112" t="s">
        <v>542</v>
      </c>
      <c r="I139" s="112" t="s">
        <v>54</v>
      </c>
      <c r="J139" s="112" t="s">
        <v>264</v>
      </c>
      <c r="K139" s="224"/>
      <c r="L139" s="228"/>
      <c r="M139" s="221"/>
      <c r="N139" s="136" t="s">
        <v>636</v>
      </c>
      <c r="O139" s="127">
        <v>12.3</v>
      </c>
      <c r="P139" s="124">
        <v>0.5</v>
      </c>
      <c r="Q139" s="124">
        <v>4.5999999999999996</v>
      </c>
      <c r="R139" s="124">
        <v>6</v>
      </c>
      <c r="S139" s="124">
        <v>-7.1</v>
      </c>
      <c r="T139" s="124">
        <v>1.1000000000000001</v>
      </c>
      <c r="U139" s="124">
        <v>2.6</v>
      </c>
      <c r="V139" s="124">
        <v>6.9</v>
      </c>
      <c r="W139" s="136" t="s">
        <v>679</v>
      </c>
      <c r="X139" s="122"/>
      <c r="Y139" s="122"/>
      <c r="Z139" s="122"/>
      <c r="AA139" s="122"/>
      <c r="AB139" s="127">
        <v>0.6</v>
      </c>
      <c r="AC139" s="136" t="s">
        <v>1273</v>
      </c>
      <c r="AD139" s="122"/>
      <c r="AE139" s="127">
        <v>12.9</v>
      </c>
      <c r="AF139" s="136" t="s">
        <v>1273</v>
      </c>
      <c r="AG139" s="122"/>
      <c r="AH139" s="122">
        <v>1.6</v>
      </c>
      <c r="AI139" s="139" t="s">
        <v>695</v>
      </c>
      <c r="AJ139" s="122"/>
      <c r="AK139" s="122"/>
      <c r="AL139" s="122"/>
      <c r="AM139" s="122"/>
      <c r="AN139" s="122"/>
      <c r="AO139" s="122">
        <v>5.8</v>
      </c>
      <c r="AP139" s="139" t="s">
        <v>636</v>
      </c>
      <c r="AQ139" s="122">
        <v>3.7</v>
      </c>
      <c r="AR139" s="139" t="s">
        <v>1072</v>
      </c>
      <c r="AS139" s="122"/>
      <c r="AT139" s="122"/>
      <c r="AU139" s="122"/>
      <c r="AV139" s="122"/>
      <c r="AW139" s="122">
        <v>2.2000000000000002</v>
      </c>
      <c r="AX139" s="139" t="s">
        <v>1070</v>
      </c>
      <c r="AY139" s="122"/>
      <c r="AZ139" s="122"/>
      <c r="BA139" s="122"/>
      <c r="BB139" s="121">
        <v>-8</v>
      </c>
      <c r="BC139" s="139" t="s">
        <v>1070</v>
      </c>
      <c r="BD139" s="122" t="str">
        <f ca="1">INDIRECT(ADDRESS(MATCH($B139,'【別紙1】標高（入力）'!$B:$B,0),'【別紙1】標高（入力）'!AD$2,4,TRUE,"【別紙1】標高（入力）"))</f>
        <v/>
      </c>
      <c r="BE139" s="122" t="str">
        <f ca="1">INDIRECT(ADDRESS(MATCH($B139,'【別紙1】標高（入力）'!$B:$B,0),'【別紙1】標高（入力）'!AE$2,4,TRUE,"【別紙1】標高（入力）"))</f>
        <v/>
      </c>
      <c r="BF139" s="122" t="str">
        <f ca="1">INDIRECT(ADDRESS(MATCH($B139,'【別紙1】標高（入力）'!$B:$B,0),'【別紙1】標高（入力）'!AF$2,4,TRUE,"【別紙1】標高（入力）"))</f>
        <v/>
      </c>
      <c r="BG139" s="121">
        <f ca="1">INDIRECT(ADDRESS(MATCH($B139,'【別紙1】標高（入力）'!$B:$B,0),'【別紙1】標高（入力）'!AG$2,4,TRUE,"【別紙1】標高（入力）"))</f>
        <v>-3.5999999999996035</v>
      </c>
      <c r="BH139" s="660" t="s">
        <v>1552</v>
      </c>
      <c r="BI139" s="632"/>
      <c r="BJ139" s="569">
        <f ca="1">INDIRECT(ADDRESS(MATCH($B139,'【別紙1】標高（入力）'!$B:$B,0),'【別紙1】標高（入力）'!AJ$2,4,TRUE,"【別紙1】標高（入力）"))</f>
        <v>0.89999999999967883</v>
      </c>
      <c r="BK139" s="598" t="str">
        <f t="shared" si="32"/>
        <v>-</v>
      </c>
      <c r="BL139" s="604">
        <f t="shared" ca="1" si="37"/>
        <v>42.100000000000399</v>
      </c>
      <c r="BM139" s="600" t="str">
        <f ca="1">INDIRECT(ADDRESS(MATCH($B139,'【別紙1】標高（入力）'!$B:$B,0),'【別紙1】標高（入力）'!$N$2,4,TRUE,"【別紙1】標高（入力）"))</f>
        <v>R3</v>
      </c>
      <c r="BN139" s="340">
        <f ca="1">INDIRECT(ADDRESS(MATCH($B139,'【別紙1】標高（入力）'!$B:$B,0),'【別紙1】標高（入力）'!$O$2,4,TRUE,"【別紙1】標高（入力）"))</f>
        <v>5.0652999999999997</v>
      </c>
      <c r="BO139" s="392"/>
    </row>
    <row r="140" spans="1:67" ht="15.95" customHeight="1">
      <c r="A140" s="119">
        <v>909</v>
      </c>
      <c r="B140" s="591">
        <v>4611</v>
      </c>
      <c r="C140" s="114" t="s">
        <v>217</v>
      </c>
      <c r="D140" s="596" t="s">
        <v>1399</v>
      </c>
      <c r="E140" s="109" t="s">
        <v>233</v>
      </c>
      <c r="F140" s="111" t="s">
        <v>12</v>
      </c>
      <c r="G140" s="112" t="s">
        <v>31</v>
      </c>
      <c r="H140" s="112" t="s">
        <v>541</v>
      </c>
      <c r="I140" s="112" t="s">
        <v>54</v>
      </c>
      <c r="J140" s="112" t="s">
        <v>264</v>
      </c>
      <c r="K140" s="224"/>
      <c r="L140" s="228"/>
      <c r="M140" s="228"/>
      <c r="N140" s="228"/>
      <c r="O140" s="228"/>
      <c r="P140" s="221"/>
      <c r="Q140" s="124">
        <v>2.2999999999999998</v>
      </c>
      <c r="R140" s="124">
        <v>4.5999999999999996</v>
      </c>
      <c r="S140" s="124">
        <v>-6.6</v>
      </c>
      <c r="T140" s="124">
        <v>-0.1</v>
      </c>
      <c r="U140" s="124">
        <v>1.8</v>
      </c>
      <c r="V140" s="124">
        <v>6.7</v>
      </c>
      <c r="W140" s="136" t="s">
        <v>679</v>
      </c>
      <c r="X140" s="122"/>
      <c r="Y140" s="122"/>
      <c r="Z140" s="122"/>
      <c r="AA140" s="122"/>
      <c r="AB140" s="127">
        <v>0.7</v>
      </c>
      <c r="AC140" s="136" t="s">
        <v>1273</v>
      </c>
      <c r="AD140" s="122"/>
      <c r="AE140" s="127">
        <v>12.2</v>
      </c>
      <c r="AF140" s="136" t="s">
        <v>1273</v>
      </c>
      <c r="AG140" s="122"/>
      <c r="AH140" s="122">
        <v>3.8</v>
      </c>
      <c r="AI140" s="139" t="s">
        <v>695</v>
      </c>
      <c r="AJ140" s="122"/>
      <c r="AK140" s="122"/>
      <c r="AL140" s="122"/>
      <c r="AM140" s="122"/>
      <c r="AN140" s="122"/>
      <c r="AO140" s="122">
        <v>6.6</v>
      </c>
      <c r="AP140" s="139" t="s">
        <v>636</v>
      </c>
      <c r="AQ140" s="122">
        <v>3.8</v>
      </c>
      <c r="AR140" s="139" t="s">
        <v>1072</v>
      </c>
      <c r="AS140" s="122"/>
      <c r="AT140" s="122"/>
      <c r="AU140" s="122"/>
      <c r="AV140" s="122"/>
      <c r="AW140" s="122">
        <v>5.0999999999999996</v>
      </c>
      <c r="AX140" s="139" t="s">
        <v>1070</v>
      </c>
      <c r="AY140" s="122"/>
      <c r="AZ140" s="122"/>
      <c r="BA140" s="122"/>
      <c r="BB140" s="121">
        <v>-6.7</v>
      </c>
      <c r="BC140" s="139" t="s">
        <v>1070</v>
      </c>
      <c r="BD140" s="122" t="str">
        <f ca="1">INDIRECT(ADDRESS(MATCH($B140,'【別紙1】標高（入力）'!$B:$B,0),'【別紙1】標高（入力）'!AD$2,4,TRUE,"【別紙1】標高（入力）"))</f>
        <v/>
      </c>
      <c r="BE140" s="122" t="str">
        <f ca="1">INDIRECT(ADDRESS(MATCH($B140,'【別紙1】標高（入力）'!$B:$B,0),'【別紙1】標高（入力）'!AE$2,4,TRUE,"【別紙1】標高（入力）"))</f>
        <v/>
      </c>
      <c r="BF140" s="122" t="str">
        <f ca="1">INDIRECT(ADDRESS(MATCH($B140,'【別紙1】標高（入力）'!$B:$B,0),'【別紙1】標高（入力）'!AF$2,4,TRUE,"【別紙1】標高（入力）"))</f>
        <v/>
      </c>
      <c r="BG140" s="121">
        <f ca="1">INDIRECT(ADDRESS(MATCH($B140,'【別紙1】標高（入力）'!$B:$B,0),'【別紙1】標高（入力）'!AG$2,4,TRUE,"【別紙1】標高（入力）"))</f>
        <v>-2.6999999999999247</v>
      </c>
      <c r="BH140" s="660" t="s">
        <v>1552</v>
      </c>
      <c r="BI140" s="632"/>
      <c r="BJ140" s="569">
        <f ca="1">INDIRECT(ADDRESS(MATCH($B140,'【別紙1】標高（入力）'!$B:$B,0),'【別紙1】標高（入力）'!AJ$2,4,TRUE,"【別紙1】標高（入力）"))</f>
        <v>1.7000000000004789</v>
      </c>
      <c r="BK140" s="598" t="str">
        <f t="shared" si="32"/>
        <v>-</v>
      </c>
      <c r="BL140" s="604">
        <f t="shared" ca="1" si="37"/>
        <v>31.500000000000071</v>
      </c>
      <c r="BM140" s="600" t="str">
        <f ca="1">INDIRECT(ADDRESS(MATCH($B140,'【別紙1】標高（入力）'!$B:$B,0),'【別紙1】標高（入力）'!$N$2,4,TRUE,"【別紙1】標高（入力）"))</f>
        <v>R3</v>
      </c>
      <c r="BN140" s="340">
        <f ca="1">INDIRECT(ADDRESS(MATCH($B140,'【別紙1】標高（入力）'!$B:$B,0),'【別紙1】標高（入力）'!$O$2,4,TRUE,"【別紙1】標高（入力）"))</f>
        <v>4.1519000000000004</v>
      </c>
      <c r="BO140" s="392"/>
    </row>
    <row r="141" spans="1:67" ht="15.95" customHeight="1">
      <c r="A141" s="119">
        <v>910</v>
      </c>
      <c r="B141" s="591">
        <v>7405</v>
      </c>
      <c r="C141" s="114" t="s">
        <v>217</v>
      </c>
      <c r="D141" s="110" t="s">
        <v>662</v>
      </c>
      <c r="E141" s="597" t="s">
        <v>1445</v>
      </c>
      <c r="F141" s="111" t="s">
        <v>12</v>
      </c>
      <c r="G141" s="112" t="s">
        <v>10</v>
      </c>
      <c r="H141" s="112" t="s">
        <v>541</v>
      </c>
      <c r="I141" s="112" t="s">
        <v>284</v>
      </c>
      <c r="J141" s="112" t="s">
        <v>293</v>
      </c>
      <c r="K141" s="224"/>
      <c r="L141" s="228"/>
      <c r="M141" s="221"/>
      <c r="N141" s="124">
        <v>-7.7</v>
      </c>
      <c r="O141" s="124">
        <v>12.2</v>
      </c>
      <c r="P141" s="124">
        <v>0.3</v>
      </c>
      <c r="Q141" s="124">
        <v>0.4</v>
      </c>
      <c r="R141" s="124">
        <v>0.5</v>
      </c>
      <c r="S141" s="124">
        <v>-3.5</v>
      </c>
      <c r="T141" s="124">
        <v>1.1000000000000001</v>
      </c>
      <c r="U141" s="124">
        <v>-1.5</v>
      </c>
      <c r="V141" s="124">
        <v>1.9</v>
      </c>
      <c r="W141" s="136" t="s">
        <v>679</v>
      </c>
      <c r="X141" s="122"/>
      <c r="Y141" s="122"/>
      <c r="Z141" s="122"/>
      <c r="AA141" s="122"/>
      <c r="AB141" s="127">
        <v>0.9</v>
      </c>
      <c r="AC141" s="136" t="s">
        <v>1273</v>
      </c>
      <c r="AD141" s="122"/>
      <c r="AE141" s="127">
        <v>3.1</v>
      </c>
      <c r="AF141" s="136" t="s">
        <v>1273</v>
      </c>
      <c r="AG141" s="122"/>
      <c r="AH141" s="122">
        <v>-4.8</v>
      </c>
      <c r="AI141" s="139" t="s">
        <v>695</v>
      </c>
      <c r="AJ141" s="122"/>
      <c r="AK141" s="122"/>
      <c r="AL141" s="122"/>
      <c r="AM141" s="122"/>
      <c r="AN141" s="122"/>
      <c r="AO141" s="122">
        <v>10.6</v>
      </c>
      <c r="AP141" s="139" t="s">
        <v>636</v>
      </c>
      <c r="AQ141" s="122">
        <v>4.4000000000000004</v>
      </c>
      <c r="AR141" s="139" t="s">
        <v>1072</v>
      </c>
      <c r="AS141" s="122"/>
      <c r="AT141" s="122"/>
      <c r="AU141" s="122"/>
      <c r="AV141" s="122"/>
      <c r="AW141" s="122">
        <v>6.1</v>
      </c>
      <c r="AX141" s="139" t="s">
        <v>1070</v>
      </c>
      <c r="AY141" s="122"/>
      <c r="AZ141" s="122"/>
      <c r="BA141" s="122"/>
      <c r="BB141" s="121">
        <v>2</v>
      </c>
      <c r="BC141" s="139" t="s">
        <v>1070</v>
      </c>
      <c r="BD141" s="122" t="str">
        <f ca="1">INDIRECT(ADDRESS(MATCH($B141,'【別紙1】標高（入力）'!$B:$B,0),'【別紙1】標高（入力）'!AD$2,4,TRUE,"【別紙1】標高（入力）"))</f>
        <v/>
      </c>
      <c r="BE141" s="122" t="str">
        <f ca="1">INDIRECT(ADDRESS(MATCH($B141,'【別紙1】標高（入力）'!$B:$B,0),'【別紙1】標高（入力）'!AE$2,4,TRUE,"【別紙1】標高（入力）"))</f>
        <v/>
      </c>
      <c r="BF141" s="122" t="str">
        <f ca="1">INDIRECT(ADDRESS(MATCH($B141,'【別紙1】標高（入力）'!$B:$B,0),'【別紙1】標高（入力）'!AF$2,4,TRUE,"【別紙1】標高（入力）"))</f>
        <v/>
      </c>
      <c r="BG141" s="121">
        <f ca="1">INDIRECT(ADDRESS(MATCH($B141,'【別紙1】標高（入力）'!$B:$B,0),'【別紙1】標高（入力）'!AG$2,4,TRUE,"【別紙1】標高（入力）"))</f>
        <v>0.19999999999953388</v>
      </c>
      <c r="BH141" s="660" t="s">
        <v>1552</v>
      </c>
      <c r="BI141" s="632"/>
      <c r="BJ141" s="569">
        <f ca="1">INDIRECT(ADDRESS(MATCH($B141,'【別紙1】標高（入力）'!$B:$B,0),'【別紙1】標高（入力）'!AJ$2,4,TRUE,"【別紙1】標高（入力）"))</f>
        <v>1.5000000000000568</v>
      </c>
      <c r="BK141" s="598" t="str">
        <f t="shared" si="32"/>
        <v>-</v>
      </c>
      <c r="BL141" s="604">
        <f t="shared" ca="1" si="37"/>
        <v>26.199999999999534</v>
      </c>
      <c r="BM141" s="600" t="str">
        <f ca="1">INDIRECT(ADDRESS(MATCH($B141,'【別紙1】標高（入力）'!$B:$B,0),'【別紙1】標高（入力）'!$N$2,4,TRUE,"【別紙1】標高（入力）"))</f>
        <v>R3</v>
      </c>
      <c r="BN141" s="340">
        <f ca="1">INDIRECT(ADDRESS(MATCH($B141,'【別紙1】標高（入力）'!$B:$B,0),'【別紙1】標高（入力）'!$O$2,4,TRUE,"【別紙1】標高（入力）"))</f>
        <v>15.7712</v>
      </c>
      <c r="BO141" s="392"/>
    </row>
    <row r="142" spans="1:67" ht="15.95" customHeight="1">
      <c r="A142" s="119">
        <v>911</v>
      </c>
      <c r="B142" s="107" t="s">
        <v>363</v>
      </c>
      <c r="C142" s="114" t="s">
        <v>217</v>
      </c>
      <c r="D142" s="110" t="s">
        <v>675</v>
      </c>
      <c r="E142" s="597" t="s">
        <v>1446</v>
      </c>
      <c r="F142" s="111" t="s">
        <v>70</v>
      </c>
      <c r="G142" s="112" t="s">
        <v>10</v>
      </c>
      <c r="H142" s="112" t="s">
        <v>541</v>
      </c>
      <c r="I142" s="112" t="s">
        <v>54</v>
      </c>
      <c r="J142" s="112" t="s">
        <v>264</v>
      </c>
      <c r="K142" s="224"/>
      <c r="L142" s="228"/>
      <c r="M142" s="221"/>
      <c r="N142" s="124">
        <v>44</v>
      </c>
      <c r="O142" s="124">
        <v>33.200000000000003</v>
      </c>
      <c r="P142" s="124">
        <v>22.1</v>
      </c>
      <c r="Q142" s="124">
        <v>41.5</v>
      </c>
      <c r="R142" s="124">
        <v>19.600000000000001</v>
      </c>
      <c r="S142" s="123">
        <v>-1</v>
      </c>
      <c r="T142" s="411" t="s">
        <v>1270</v>
      </c>
      <c r="U142" s="135" t="s">
        <v>636</v>
      </c>
      <c r="V142" s="127">
        <v>97.6</v>
      </c>
      <c r="W142" s="136" t="s">
        <v>679</v>
      </c>
      <c r="X142" s="122"/>
      <c r="Y142" s="122"/>
      <c r="Z142" s="122"/>
      <c r="AA142" s="122"/>
      <c r="AB142" s="127">
        <v>108.3</v>
      </c>
      <c r="AC142" s="136" t="s">
        <v>1273</v>
      </c>
      <c r="AD142" s="122"/>
      <c r="AE142" s="411" t="s">
        <v>1270</v>
      </c>
      <c r="AF142" s="135" t="s">
        <v>1273</v>
      </c>
      <c r="AG142" s="122"/>
      <c r="AH142" s="122">
        <v>48.3</v>
      </c>
      <c r="AI142" s="139" t="s">
        <v>685</v>
      </c>
      <c r="AJ142" s="122"/>
      <c r="AK142" s="122"/>
      <c r="AL142" s="122"/>
      <c r="AM142" s="122"/>
      <c r="AN142" s="121">
        <v>45</v>
      </c>
      <c r="AO142" s="122">
        <v>11.8</v>
      </c>
      <c r="AP142" s="139" t="s">
        <v>636</v>
      </c>
      <c r="AQ142" s="122">
        <v>16.7</v>
      </c>
      <c r="AR142" s="139" t="s">
        <v>679</v>
      </c>
      <c r="AS142" s="122"/>
      <c r="AT142" s="122"/>
      <c r="AU142" s="122"/>
      <c r="AV142" s="122"/>
      <c r="AW142" s="122">
        <v>40.799999999999997</v>
      </c>
      <c r="AX142" s="139" t="s">
        <v>1070</v>
      </c>
      <c r="AY142" s="122"/>
      <c r="AZ142" s="122"/>
      <c r="BA142" s="122"/>
      <c r="BB142" s="121">
        <v>10.5</v>
      </c>
      <c r="BC142" s="139" t="s">
        <v>1070</v>
      </c>
      <c r="BD142" s="122" t="str">
        <f ca="1">INDIRECT(ADDRESS(MATCH($B142,'【別紙1】標高（入力）'!$B:$B,0),'【別紙1】標高（入力）'!AD$2,4,TRUE,"【別紙1】標高（入力）"))</f>
        <v/>
      </c>
      <c r="BE142" s="122" t="str">
        <f ca="1">INDIRECT(ADDRESS(MATCH($B142,'【別紙1】標高（入力）'!$B:$B,0),'【別紙1】標高（入力）'!AE$2,4,TRUE,"【別紙1】標高（入力）"))</f>
        <v/>
      </c>
      <c r="BF142" s="122" t="str">
        <f ca="1">INDIRECT(ADDRESS(MATCH($B142,'【別紙1】標高（入力）'!$B:$B,0),'【別紙1】標高（入力）'!AF$2,4,TRUE,"【別紙1】標高（入力）"))</f>
        <v/>
      </c>
      <c r="BG142" s="121">
        <f ca="1">INDIRECT(ADDRESS(MATCH($B142,'【別紙1】標高（入力）'!$B:$B,0),'【別紙1】標高（入力）'!AG$2,4,TRUE,"【別紙1】標高（入力）"))</f>
        <v>41.399999999999878</v>
      </c>
      <c r="BH142" s="139" t="s">
        <v>1333</v>
      </c>
      <c r="BI142" s="122">
        <f ca="1">INDIRECT(ADDRESS(MATCH($B142,'【別紙1】標高（入力）'!$B:$B,0),'【別紙1】標高（入力）'!AI$2,4,TRUE,"【別紙1】標高（入力）"))</f>
        <v>0.90000000000012292</v>
      </c>
      <c r="BJ142" s="659" t="str">
        <f ca="1">INDIRECT(ADDRESS(MATCH($B142,'【別紙1】標高（入力）'!$B:$B,0),'【別紙1】標高（入力）'!AJ$2,4,TRUE,"【別紙1】標高（入力）"))</f>
        <v/>
      </c>
      <c r="BK142" s="598" t="str">
        <f t="shared" ca="1" si="32"/>
        <v>-</v>
      </c>
      <c r="BL142" s="604">
        <f t="shared" ca="1" si="37"/>
        <v>580.69999999999993</v>
      </c>
      <c r="BM142" s="600" t="str">
        <f ca="1">INDIRECT(ADDRESS(MATCH($B142,'【別紙1】標高（入力）'!$B:$B,0),'【別紙1】標高（入力）'!$N$2,4,TRUE,"【別紙1】標高（入力）"))</f>
        <v>R5</v>
      </c>
      <c r="BN142" s="340">
        <f ca="1">INDIRECT(ADDRESS(MATCH($B142,'【別紙1】標高（入力）'!$B:$B,0),'【別紙1】標高（入力）'!$O$2,4,TRUE,"【別紙1】標高（入力）"))</f>
        <v>3.5257000000000001</v>
      </c>
      <c r="BO142" s="392"/>
    </row>
    <row r="143" spans="1:67" ht="15.95" customHeight="1">
      <c r="A143" s="119">
        <v>1001</v>
      </c>
      <c r="B143" s="107" t="s">
        <v>516</v>
      </c>
      <c r="C143" s="114" t="s">
        <v>294</v>
      </c>
      <c r="D143" s="110" t="s">
        <v>663</v>
      </c>
      <c r="E143" s="109" t="s">
        <v>174</v>
      </c>
      <c r="F143" s="111" t="s">
        <v>9</v>
      </c>
      <c r="G143" s="112" t="s">
        <v>127</v>
      </c>
      <c r="H143" s="112" t="s">
        <v>541</v>
      </c>
      <c r="I143" s="112" t="s">
        <v>141</v>
      </c>
      <c r="J143" s="112" t="s">
        <v>270</v>
      </c>
      <c r="K143" s="224"/>
      <c r="L143" s="228"/>
      <c r="M143" s="228"/>
      <c r="N143" s="228"/>
      <c r="O143" s="228"/>
      <c r="P143" s="228"/>
      <c r="Q143" s="221"/>
      <c r="R143" s="124">
        <v>16.100000000000001</v>
      </c>
      <c r="S143" s="136" t="s">
        <v>636</v>
      </c>
      <c r="T143" s="127">
        <v>17.899999999999999</v>
      </c>
      <c r="U143" s="136" t="s">
        <v>93</v>
      </c>
      <c r="V143" s="122"/>
      <c r="W143" s="122"/>
      <c r="X143" s="122"/>
      <c r="Y143" s="122"/>
      <c r="Z143" s="122"/>
      <c r="AA143" s="122"/>
      <c r="AB143" s="122"/>
      <c r="AC143" s="135"/>
      <c r="AD143" s="122"/>
      <c r="AE143" s="122"/>
      <c r="AF143" s="122"/>
      <c r="AG143" s="122"/>
      <c r="AH143" s="121">
        <v>45.6</v>
      </c>
      <c r="AI143" s="139" t="s">
        <v>707</v>
      </c>
      <c r="AJ143" s="122"/>
      <c r="AK143" s="122"/>
      <c r="AL143" s="122"/>
      <c r="AM143" s="122"/>
      <c r="AN143" s="122"/>
      <c r="AO143" s="122"/>
      <c r="AP143" s="122">
        <v>22.6</v>
      </c>
      <c r="AQ143" s="139" t="s">
        <v>1074</v>
      </c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>
        <v>9.5</v>
      </c>
      <c r="BB143" s="139" t="s">
        <v>1336</v>
      </c>
      <c r="BC143" s="122"/>
      <c r="BD143" s="122" t="str">
        <f ca="1">INDIRECT(ADDRESS(MATCH($B143,'【別紙1】標高（入力）'!$B:$B,0),'【別紙1】標高（入力）'!AD$2,4,TRUE,"【別紙1】標高（入力）"))</f>
        <v/>
      </c>
      <c r="BE143" s="122" t="str">
        <f ca="1">INDIRECT(ADDRESS(MATCH($B143,'【別紙1】標高（入力）'!$B:$B,0),'【別紙1】標高（入力）'!AE$2,4,TRUE,"【別紙1】標高（入力）"))</f>
        <v/>
      </c>
      <c r="BF143" s="121">
        <f ca="1">INDIRECT(ADDRESS(MATCH($B143,'【別紙1】標高（入力）'!$B:$B,0),'【別紙1】標高（入力）'!AF$2,4,TRUE,"【別紙1】標高（入力）"))</f>
        <v>1.300000000000523</v>
      </c>
      <c r="BG143" s="139" t="s">
        <v>1073</v>
      </c>
      <c r="BH143" s="121">
        <f ca="1">INDIRECT(ADDRESS(MATCH($B143,'【別紙1】標高（入力）'!$B:$B,0),'【別紙1】標高（入力）'!AH$2,4,TRUE,"【別紙1】標高（入力）"))</f>
        <v>4.5000000000001705</v>
      </c>
      <c r="BI143" s="122"/>
      <c r="BJ143" s="624" t="str">
        <f ca="1">INDIRECT(ADDRESS(MATCH($B143,'【別紙1】標高（入力）'!$B:$B,0),'【別紙1】標高（入力）'!AJ$2,4,TRUE,"【別紙1】標高（入力）"))</f>
        <v/>
      </c>
      <c r="BK143" s="598" t="str">
        <f t="shared" ca="1" si="32"/>
        <v>-</v>
      </c>
      <c r="BL143" s="604">
        <f t="shared" ca="1" si="37"/>
        <v>117.50000000000068</v>
      </c>
      <c r="BM143" s="600" t="str">
        <f ca="1">INDIRECT(ADDRESS(MATCH($B143,'【別紙1】標高（入力）'!$B:$B,0),'【別紙1】標高（入力）'!$N$2,4,TRUE,"【別紙1】標高（入力）"))</f>
        <v>R4</v>
      </c>
      <c r="BN143" s="340">
        <f ca="1">INDIRECT(ADDRESS(MATCH($B143,'【別紙1】標高（入力）'!$B:$B,0),'【別紙1】標高（入力）'!$O$2,4,TRUE,"【別紙1】標高（入力）"))</f>
        <v>35.606699999999996</v>
      </c>
      <c r="BO143" s="392"/>
    </row>
    <row r="144" spans="1:67" ht="15.95" customHeight="1">
      <c r="A144" s="119">
        <v>1002</v>
      </c>
      <c r="B144" s="107" t="s">
        <v>518</v>
      </c>
      <c r="C144" s="114" t="s">
        <v>294</v>
      </c>
      <c r="D144" s="110" t="s">
        <v>706</v>
      </c>
      <c r="E144" s="597" t="s">
        <v>1447</v>
      </c>
      <c r="F144" s="111" t="s">
        <v>9</v>
      </c>
      <c r="G144" s="112" t="s">
        <v>127</v>
      </c>
      <c r="H144" s="112" t="s">
        <v>541</v>
      </c>
      <c r="I144" s="112" t="s">
        <v>141</v>
      </c>
      <c r="J144" s="112" t="s">
        <v>547</v>
      </c>
      <c r="K144" s="224"/>
      <c r="L144" s="228"/>
      <c r="M144" s="228"/>
      <c r="N144" s="228"/>
      <c r="O144" s="228"/>
      <c r="P144" s="228"/>
      <c r="Q144" s="221"/>
      <c r="R144" s="124">
        <v>5.3</v>
      </c>
      <c r="S144" s="233" t="s">
        <v>177</v>
      </c>
      <c r="T144" s="228"/>
      <c r="U144" s="228"/>
      <c r="V144" s="228"/>
      <c r="W144" s="228"/>
      <c r="X144" s="228"/>
      <c r="Y144" s="228"/>
      <c r="Z144" s="228"/>
      <c r="AA144" s="229"/>
      <c r="AB144" s="138" t="s">
        <v>37</v>
      </c>
      <c r="AC144" s="135" t="s">
        <v>1273</v>
      </c>
      <c r="AD144" s="122"/>
      <c r="AE144" s="127">
        <v>7</v>
      </c>
      <c r="AF144" s="136" t="s">
        <v>1274</v>
      </c>
      <c r="AG144" s="122"/>
      <c r="AH144" s="122">
        <v>6.9</v>
      </c>
      <c r="AI144" s="139" t="s">
        <v>707</v>
      </c>
      <c r="AJ144" s="122"/>
      <c r="AK144" s="122"/>
      <c r="AL144" s="122"/>
      <c r="AM144" s="122"/>
      <c r="AN144" s="122"/>
      <c r="AO144" s="122"/>
      <c r="AP144" s="121">
        <v>27</v>
      </c>
      <c r="AQ144" s="135" t="s">
        <v>1072</v>
      </c>
      <c r="AR144" s="122"/>
      <c r="AS144" s="122"/>
      <c r="AT144" s="122"/>
      <c r="AU144" s="122"/>
      <c r="AV144" s="121">
        <v>7.2</v>
      </c>
      <c r="AW144" s="139" t="s">
        <v>1070</v>
      </c>
      <c r="AX144" s="122"/>
      <c r="AY144" s="122"/>
      <c r="AZ144" s="122"/>
      <c r="BA144" s="122">
        <v>6.9</v>
      </c>
      <c r="BB144" s="139" t="s">
        <v>1336</v>
      </c>
      <c r="BC144" s="122"/>
      <c r="BD144" s="122" t="str">
        <f ca="1">INDIRECT(ADDRESS(MATCH($B144,'【別紙1】標高（入力）'!$B:$B,0),'【別紙1】標高（入力）'!AD$2,4,TRUE,"【別紙1】標高（入力）"))</f>
        <v/>
      </c>
      <c r="BE144" s="122" t="str">
        <f ca="1">INDIRECT(ADDRESS(MATCH($B144,'【別紙1】標高（入力）'!$B:$B,0),'【別紙1】標高（入力）'!AE$2,4,TRUE,"【別紙1】標高（入力）"))</f>
        <v/>
      </c>
      <c r="BF144" s="121">
        <f ca="1">INDIRECT(ADDRESS(MATCH($B144,'【別紙1】標高（入力）'!$B:$B,0),'【別紙1】標高（入力）'!AF$2,4,TRUE,"【別紙1】標高（入力）"))</f>
        <v>2.6000000000010459</v>
      </c>
      <c r="BG144" s="139" t="s">
        <v>1073</v>
      </c>
      <c r="BH144" s="121">
        <f ca="1">INDIRECT(ADDRESS(MATCH($B144,'【別紙1】標高（入力）'!$B:$B,0),'【別紙1】標高（入力）'!AH$2,4,TRUE,"【別紙1】標高（入力）"))</f>
        <v>2.400000000001512</v>
      </c>
      <c r="BI144" s="122"/>
      <c r="BJ144" s="624" t="str">
        <f ca="1">INDIRECT(ADDRESS(MATCH($B144,'【別紙1】標高（入力）'!$B:$B,0),'【別紙1】標高（入力）'!AJ$2,4,TRUE,"【別紙1】標高（入力）"))</f>
        <v/>
      </c>
      <c r="BK144" s="598" t="str">
        <f t="shared" ca="1" si="32"/>
        <v>-</v>
      </c>
      <c r="BL144" s="604">
        <f t="shared" ca="1" si="37"/>
        <v>65.300000000002569</v>
      </c>
      <c r="BM144" s="600" t="str">
        <f ca="1">INDIRECT(ADDRESS(MATCH($B144,'【別紙1】標高（入力）'!$B:$B,0),'【別紙1】標高（入力）'!$N$2,4,TRUE,"【別紙1】標高（入力）"))</f>
        <v>R4</v>
      </c>
      <c r="BN144" s="340">
        <f ca="1">INDIRECT(ADDRESS(MATCH($B144,'【別紙1】標高（入力）'!$B:$B,0),'【別紙1】標高（入力）'!$O$2,4,TRUE,"【別紙1】標高（入力）"))</f>
        <v>44.062100000000001</v>
      </c>
      <c r="BO144" s="392"/>
    </row>
    <row r="145" spans="1:67" ht="15.95" customHeight="1" thickBot="1">
      <c r="A145" s="119">
        <v>1003</v>
      </c>
      <c r="B145" s="107" t="s">
        <v>520</v>
      </c>
      <c r="C145" s="114" t="s">
        <v>294</v>
      </c>
      <c r="D145" s="110" t="s">
        <v>649</v>
      </c>
      <c r="E145" s="109" t="s">
        <v>179</v>
      </c>
      <c r="F145" s="111" t="s">
        <v>9</v>
      </c>
      <c r="G145" s="112" t="s">
        <v>10</v>
      </c>
      <c r="H145" s="112" t="s">
        <v>541</v>
      </c>
      <c r="I145" s="112" t="s">
        <v>141</v>
      </c>
      <c r="J145" s="112" t="s">
        <v>547</v>
      </c>
      <c r="K145" s="224"/>
      <c r="L145" s="228"/>
      <c r="M145" s="221"/>
      <c r="N145" s="136" t="s">
        <v>1273</v>
      </c>
      <c r="O145" s="122"/>
      <c r="P145" s="127">
        <v>8.4</v>
      </c>
      <c r="Q145" s="124">
        <v>1.1000000000000001</v>
      </c>
      <c r="R145" s="124">
        <v>6.4</v>
      </c>
      <c r="S145" s="136" t="s">
        <v>636</v>
      </c>
      <c r="T145" s="127">
        <v>2.6</v>
      </c>
      <c r="U145" s="136" t="s">
        <v>1275</v>
      </c>
      <c r="V145" s="122"/>
      <c r="W145" s="122"/>
      <c r="X145" s="122"/>
      <c r="Y145" s="122"/>
      <c r="Z145" s="122"/>
      <c r="AA145" s="122"/>
      <c r="AB145" s="127">
        <v>17.3</v>
      </c>
      <c r="AC145" s="136" t="s">
        <v>1273</v>
      </c>
      <c r="AD145" s="122"/>
      <c r="AE145" s="127">
        <v>-1.2</v>
      </c>
      <c r="AF145" s="136" t="s">
        <v>1273</v>
      </c>
      <c r="AG145" s="122"/>
      <c r="AH145" s="122">
        <v>5.9</v>
      </c>
      <c r="AI145" s="139" t="s">
        <v>707</v>
      </c>
      <c r="AJ145" s="122"/>
      <c r="AK145" s="122"/>
      <c r="AL145" s="122"/>
      <c r="AM145" s="122"/>
      <c r="AN145" s="122"/>
      <c r="AO145" s="122"/>
      <c r="AP145" s="121">
        <v>32.299999999999997</v>
      </c>
      <c r="AQ145" s="135" t="s">
        <v>1072</v>
      </c>
      <c r="AR145" s="122"/>
      <c r="AS145" s="122"/>
      <c r="AT145" s="122"/>
      <c r="AU145" s="122"/>
      <c r="AV145" s="122">
        <v>-9.6</v>
      </c>
      <c r="AW145" s="139" t="s">
        <v>1070</v>
      </c>
      <c r="AX145" s="122"/>
      <c r="AY145" s="122"/>
      <c r="AZ145" s="122"/>
      <c r="BA145" s="122">
        <v>0.9</v>
      </c>
      <c r="BB145" s="139" t="s">
        <v>1336</v>
      </c>
      <c r="BC145" s="122"/>
      <c r="BD145" s="122" t="str">
        <f ca="1">INDIRECT(ADDRESS(MATCH($B145,'【別紙1】標高（入力）'!$B:$B,0),'【別紙1】標高（入力）'!AD$2,4,TRUE,"【別紙1】標高（入力）"))</f>
        <v/>
      </c>
      <c r="BE145" s="122" t="str">
        <f ca="1">INDIRECT(ADDRESS(MATCH($B145,'【別紙1】標高（入力）'!$B:$B,0),'【別紙1】標高（入力）'!AE$2,4,TRUE,"【別紙1】標高（入力）"))</f>
        <v/>
      </c>
      <c r="BF145" s="121">
        <f ca="1">INDIRECT(ADDRESS(MATCH($B145,'【別紙1】標高（入力）'!$B:$B,0),'【別紙1】標高（入力）'!AF$2,4,TRUE,"【別紙1】標高（入力）"))</f>
        <v>-1.2000000000043087</v>
      </c>
      <c r="BG145" s="139" t="s">
        <v>1073</v>
      </c>
      <c r="BH145" s="121">
        <f ca="1">INDIRECT(ADDRESS(MATCH($B145,'【別紙1】標高（入力）'!$B:$B,0),'【別紙1】標高（入力）'!AH$2,4,TRUE,"【別紙1】標高（入力）"))</f>
        <v>2.6000000000010459</v>
      </c>
      <c r="BI145" s="122"/>
      <c r="BJ145" s="624" t="str">
        <f ca="1">INDIRECT(ADDRESS(MATCH($B145,'【別紙1】標高（入力）'!$B:$B,0),'【別紙1】標高（入力）'!AJ$2,4,TRUE,"【別紙1】標高（入力）"))</f>
        <v/>
      </c>
      <c r="BK145" s="635" t="str">
        <f t="shared" ca="1" si="32"/>
        <v>-</v>
      </c>
      <c r="BL145" s="636">
        <f t="shared" ca="1" si="37"/>
        <v>65.499999999996717</v>
      </c>
      <c r="BM145" s="637" t="str">
        <f ca="1">INDIRECT(ADDRESS(MATCH($B145,'【別紙1】標高（入力）'!$B:$B,0),'【別紙1】標高（入力）'!$N$2,4,TRUE,"【別紙1】標高（入力）"))</f>
        <v>R4</v>
      </c>
      <c r="BN145" s="638">
        <f ca="1">INDIRECT(ADDRESS(MATCH($B145,'【別紙1】標高（入力）'!$B:$B,0),'【別紙1】標高（入力）'!$O$2,4,TRUE,"【別紙1】標高（入力）"))</f>
        <v>32.077300000000001</v>
      </c>
      <c r="BO145" s="392"/>
    </row>
    <row r="146" spans="1:67">
      <c r="BH146" s="590" t="s">
        <v>1387</v>
      </c>
      <c r="BI146" s="590"/>
      <c r="BJ146" s="590"/>
      <c r="BK146" s="524">
        <f ca="1">MAX(BK5:BK145)</f>
        <v>5.3999999999998494</v>
      </c>
    </row>
    <row r="147" spans="1:67">
      <c r="A147" s="101">
        <v>1</v>
      </c>
      <c r="B147" s="100" t="s">
        <v>1254</v>
      </c>
      <c r="C147" s="101">
        <v>3</v>
      </c>
      <c r="D147" s="102">
        <v>4</v>
      </c>
      <c r="F147" s="101">
        <v>6</v>
      </c>
      <c r="G147" s="101">
        <v>7</v>
      </c>
      <c r="H147" s="101">
        <v>8</v>
      </c>
      <c r="I147" s="101">
        <v>9</v>
      </c>
      <c r="J147" s="101">
        <v>10</v>
      </c>
      <c r="K147" s="101">
        <v>11</v>
      </c>
      <c r="L147" s="101">
        <v>12</v>
      </c>
      <c r="M147" s="101">
        <v>13</v>
      </c>
      <c r="N147" s="101">
        <v>14</v>
      </c>
      <c r="O147" s="101">
        <v>15</v>
      </c>
      <c r="P147" s="101">
        <v>16</v>
      </c>
      <c r="Q147" s="101">
        <v>17</v>
      </c>
      <c r="R147" s="101">
        <v>18</v>
      </c>
      <c r="S147" s="101">
        <v>19</v>
      </c>
      <c r="T147" s="101">
        <v>20</v>
      </c>
      <c r="U147" s="101">
        <v>21</v>
      </c>
      <c r="V147" s="101">
        <v>22</v>
      </c>
      <c r="W147" s="101">
        <v>23</v>
      </c>
      <c r="X147" s="101">
        <v>24</v>
      </c>
      <c r="Y147" s="101">
        <v>25</v>
      </c>
      <c r="Z147" s="101">
        <v>26</v>
      </c>
      <c r="AA147" s="101">
        <v>27</v>
      </c>
      <c r="AB147" s="101">
        <v>28</v>
      </c>
      <c r="AC147" s="101">
        <v>29</v>
      </c>
      <c r="AD147" s="101">
        <v>30</v>
      </c>
      <c r="AE147" s="101">
        <v>31</v>
      </c>
      <c r="AF147" s="101">
        <v>32</v>
      </c>
      <c r="AG147" s="101">
        <v>33</v>
      </c>
      <c r="AH147" s="101">
        <v>34</v>
      </c>
      <c r="AI147" s="101">
        <v>35</v>
      </c>
      <c r="AJ147" s="101">
        <v>36</v>
      </c>
      <c r="AK147" s="101">
        <v>37</v>
      </c>
      <c r="AL147" s="101">
        <v>38</v>
      </c>
      <c r="AM147" s="101">
        <v>39</v>
      </c>
      <c r="AN147" s="101">
        <v>40</v>
      </c>
      <c r="AO147" s="101">
        <v>41</v>
      </c>
      <c r="AP147" s="101">
        <v>42</v>
      </c>
      <c r="AQ147" s="101">
        <v>43</v>
      </c>
      <c r="AR147" s="101">
        <v>44</v>
      </c>
      <c r="AS147" s="101">
        <v>45</v>
      </c>
      <c r="AT147" s="101">
        <v>46</v>
      </c>
      <c r="AU147" s="101">
        <v>47</v>
      </c>
      <c r="AV147" s="101">
        <v>48</v>
      </c>
      <c r="AW147" s="101">
        <v>49</v>
      </c>
      <c r="AX147" s="101">
        <v>50</v>
      </c>
      <c r="AY147" s="101">
        <v>51</v>
      </c>
      <c r="AZ147" s="101">
        <v>52</v>
      </c>
      <c r="BA147" s="101">
        <v>53</v>
      </c>
      <c r="BB147" s="101">
        <v>54</v>
      </c>
      <c r="BC147" s="101">
        <v>55</v>
      </c>
      <c r="BD147" s="101">
        <v>56</v>
      </c>
      <c r="BE147" s="101">
        <v>57</v>
      </c>
      <c r="BF147" s="101">
        <v>58</v>
      </c>
      <c r="BG147" s="101"/>
      <c r="BH147" s="101"/>
      <c r="BI147" s="101"/>
      <c r="BJ147" s="101"/>
      <c r="BK147" s="101"/>
    </row>
    <row r="148" spans="1:67">
      <c r="BL148" s="524">
        <f ca="1">MAX(BL5:BL145)</f>
        <v>904.40000000000009</v>
      </c>
    </row>
    <row r="150" spans="1:67">
      <c r="AY150" s="404">
        <f t="shared" ref="AY150:BI150" si="38">COUNTA(AY5:AY145)-COUNTIF(AY5:AY145,"2年累積")-COUNTIF(AY5:AY145,"3年累積")-COUNTIF(AY5:AY145,"4年累積")-COUNTIF(AY5:AY145,"5年累積")</f>
        <v>50</v>
      </c>
      <c r="AZ150" s="404">
        <f t="shared" si="38"/>
        <v>39</v>
      </c>
      <c r="BA150" s="404">
        <f t="shared" si="38"/>
        <v>52</v>
      </c>
      <c r="BB150" s="404">
        <f t="shared" si="38"/>
        <v>40</v>
      </c>
      <c r="BC150" s="404">
        <f t="shared" si="38"/>
        <v>48</v>
      </c>
      <c r="BD150" s="403">
        <f t="shared" ca="1" si="38"/>
        <v>100</v>
      </c>
      <c r="BE150" s="403">
        <f t="shared" ca="1" si="38"/>
        <v>93</v>
      </c>
      <c r="BF150" s="403">
        <f t="shared" ca="1" si="38"/>
        <v>110</v>
      </c>
      <c r="BG150" s="403">
        <f t="shared" ca="1" si="38"/>
        <v>106</v>
      </c>
      <c r="BH150" s="403">
        <f t="shared" ca="1" si="38"/>
        <v>118</v>
      </c>
      <c r="BI150" s="403">
        <f t="shared" ca="1" si="38"/>
        <v>34</v>
      </c>
      <c r="BJ150" s="403">
        <f t="shared" ref="BJ150" ca="1" si="39">COUNTA(BJ5:BJ145)-COUNTIF(BJ5:BJ145,"2年累積")-COUNTIF(BJ5:BJ145,"3年累積")-COUNTIF(BJ5:BJ145,"4年累積")-COUNTIF(BJ5:BJ145,"5年累積")</f>
        <v>141</v>
      </c>
      <c r="BK150" s="403"/>
    </row>
    <row r="151" spans="1:67">
      <c r="AX151" s="403" t="s">
        <v>530</v>
      </c>
      <c r="AY151" s="403">
        <f t="shared" ref="AY151:BI151" si="40">COUNTIF(AY5:AY145,"値付")</f>
        <v>2</v>
      </c>
      <c r="AZ151" s="403">
        <f t="shared" si="40"/>
        <v>0</v>
      </c>
      <c r="BA151" s="403">
        <f t="shared" si="40"/>
        <v>0</v>
      </c>
      <c r="BB151" s="403">
        <f t="shared" si="40"/>
        <v>0</v>
      </c>
      <c r="BC151" s="403">
        <f t="shared" si="40"/>
        <v>1</v>
      </c>
      <c r="BD151" s="403">
        <f t="shared" ca="1" si="40"/>
        <v>2</v>
      </c>
      <c r="BE151" s="403">
        <f t="shared" ca="1" si="40"/>
        <v>0</v>
      </c>
      <c r="BF151" s="403">
        <f t="shared" ca="1" si="40"/>
        <v>2</v>
      </c>
      <c r="BG151" s="403">
        <f t="shared" ca="1" si="40"/>
        <v>0</v>
      </c>
      <c r="BH151" s="403">
        <f t="shared" ca="1" si="40"/>
        <v>0</v>
      </c>
      <c r="BI151" s="403">
        <f t="shared" ca="1" si="40"/>
        <v>0</v>
      </c>
      <c r="BJ151" s="403">
        <f t="shared" ref="BJ151" ca="1" si="41">COUNTIF(BJ5:BJ145,"値付")</f>
        <v>0</v>
      </c>
      <c r="BK151" s="403"/>
    </row>
    <row r="152" spans="1:67">
      <c r="AX152" s="403" t="s">
        <v>1258</v>
      </c>
      <c r="AY152" s="404">
        <f t="shared" ref="AY152:BI152" si="42">AY150-AY151</f>
        <v>48</v>
      </c>
      <c r="AZ152" s="404">
        <f t="shared" si="42"/>
        <v>39</v>
      </c>
      <c r="BA152" s="403">
        <f t="shared" si="42"/>
        <v>52</v>
      </c>
      <c r="BB152" s="403">
        <f t="shared" si="42"/>
        <v>40</v>
      </c>
      <c r="BC152" s="403">
        <f t="shared" si="42"/>
        <v>47</v>
      </c>
      <c r="BD152" s="403">
        <f t="shared" ca="1" si="42"/>
        <v>98</v>
      </c>
      <c r="BE152" s="403">
        <f t="shared" ca="1" si="42"/>
        <v>93</v>
      </c>
      <c r="BF152" s="403">
        <f t="shared" ca="1" si="42"/>
        <v>108</v>
      </c>
      <c r="BG152" s="403">
        <f t="shared" ca="1" si="42"/>
        <v>106</v>
      </c>
      <c r="BH152" s="403">
        <f t="shared" ca="1" si="42"/>
        <v>118</v>
      </c>
      <c r="BI152" s="403">
        <f t="shared" ca="1" si="42"/>
        <v>34</v>
      </c>
      <c r="BJ152" s="403">
        <f t="shared" ref="BJ152" ca="1" si="43">BJ150-BJ151</f>
        <v>141</v>
      </c>
      <c r="BK152" s="403"/>
    </row>
    <row r="155" spans="1:67">
      <c r="BF155" s="104" t="s">
        <v>1344</v>
      </c>
      <c r="BK155" s="104">
        <f ca="1">COUNTIF($BK$5:$BK$145,"&lt;0")</f>
        <v>1</v>
      </c>
    </row>
    <row r="156" spans="1:67">
      <c r="BF156" s="104" t="s">
        <v>1345</v>
      </c>
      <c r="BK156" s="104">
        <f ca="1">COUNTIF($BK$5:$BK$145,"&gt;0")</f>
        <v>9</v>
      </c>
    </row>
    <row r="157" spans="1:67">
      <c r="BF157" s="104" t="s">
        <v>529</v>
      </c>
      <c r="BK157" s="104">
        <f ca="1">COUNTIF($BK$5:$BK$145,"-")</f>
        <v>131</v>
      </c>
    </row>
    <row r="158" spans="1:67">
      <c r="BF158" s="104" t="s">
        <v>1347</v>
      </c>
      <c r="BK158" s="104">
        <f ca="1">SUM(BK155:BK157)</f>
        <v>141</v>
      </c>
    </row>
  </sheetData>
  <autoFilter ref="A4:BO147" xr:uid="{00000000-0009-0000-0000-000005000000}"/>
  <mergeCells count="13">
    <mergeCell ref="BO3:BO4"/>
    <mergeCell ref="G3:G4"/>
    <mergeCell ref="H3:H4"/>
    <mergeCell ref="I3:I4"/>
    <mergeCell ref="J3:J4"/>
    <mergeCell ref="BK3:BL3"/>
    <mergeCell ref="BM3:BN3"/>
    <mergeCell ref="F3:F4"/>
    <mergeCell ref="A3:A4"/>
    <mergeCell ref="B3:B4"/>
    <mergeCell ref="C3:C4"/>
    <mergeCell ref="D3:D4"/>
    <mergeCell ref="E3:E4"/>
  </mergeCells>
  <phoneticPr fontId="1"/>
  <printOptions horizontalCentered="1"/>
  <pageMargins left="1.1811023622047245" right="0.39370078740157483" top="0.74803149606299213" bottom="0.39370078740157483" header="0.11811023622047245" footer="0.11811023622047245"/>
  <pageSetup paperSize="8" scale="33" fitToHeight="0" orientation="landscape" r:id="rId1"/>
  <headerFooter alignWithMargins="0"/>
  <rowBreaks count="1" manualBreakCount="1">
    <brk id="86" max="5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55"/>
  <sheetViews>
    <sheetView view="pageBreakPreview" zoomScaleNormal="70" zoomScaleSheetLayoutView="100" workbookViewId="0">
      <pane xSplit="3" ySplit="3" topLeftCell="AE4" activePane="bottomRight" state="frozen"/>
      <selection activeCell="F24" sqref="F1:F1048576"/>
      <selection pane="topRight" activeCell="F24" sqref="F1:F1048576"/>
      <selection pane="bottomLeft" activeCell="F24" sqref="F1:F1048576"/>
      <selection pane="bottomRight" activeCell="F24" sqref="F1:F1048576"/>
    </sheetView>
  </sheetViews>
  <sheetFormatPr defaultRowHeight="16.5"/>
  <cols>
    <col min="1" max="1" width="10.625" style="261" customWidth="1"/>
    <col min="2" max="3" width="20.625" style="74" customWidth="1"/>
    <col min="4" max="33" width="6.625" style="266" customWidth="1"/>
    <col min="34" max="51" width="6.625" style="267" customWidth="1"/>
    <col min="52" max="54" width="6.625" style="1" customWidth="1"/>
    <col min="55" max="16384" width="9" style="1"/>
  </cols>
  <sheetData>
    <row r="1" spans="1:54" s="293" customFormat="1" ht="21.95" customHeight="1" thickBot="1">
      <c r="A1" s="289" t="s">
        <v>1161</v>
      </c>
      <c r="B1" s="290"/>
      <c r="C1" s="290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1"/>
      <c r="AV1" s="291"/>
      <c r="AW1" s="291"/>
      <c r="AX1" s="291"/>
      <c r="AY1" s="291"/>
    </row>
    <row r="2" spans="1:54" s="14" customFormat="1">
      <c r="A2" s="730" t="s">
        <v>1165</v>
      </c>
      <c r="B2" s="732" t="s">
        <v>1162</v>
      </c>
      <c r="C2" s="728" t="s">
        <v>1109</v>
      </c>
      <c r="D2" s="294"/>
      <c r="E2" s="271" t="s">
        <v>1163</v>
      </c>
      <c r="F2" s="272"/>
      <c r="G2" s="272"/>
      <c r="H2" s="272"/>
      <c r="I2" s="272"/>
      <c r="J2" s="273"/>
      <c r="K2" s="274">
        <v>55</v>
      </c>
      <c r="L2" s="272"/>
      <c r="M2" s="272"/>
      <c r="N2" s="272"/>
      <c r="O2" s="273"/>
      <c r="P2" s="274">
        <v>60</v>
      </c>
      <c r="Q2" s="272"/>
      <c r="R2" s="272"/>
      <c r="S2" s="273"/>
      <c r="T2" s="271" t="s">
        <v>1168</v>
      </c>
      <c r="U2" s="275"/>
      <c r="V2" s="275"/>
      <c r="W2" s="276"/>
      <c r="X2" s="274">
        <v>5</v>
      </c>
      <c r="Y2" s="275"/>
      <c r="Z2" s="275"/>
      <c r="AA2" s="275"/>
      <c r="AB2" s="276"/>
      <c r="AC2" s="274">
        <v>10</v>
      </c>
      <c r="AD2" s="275"/>
      <c r="AE2" s="275"/>
      <c r="AF2" s="275"/>
      <c r="AG2" s="276"/>
      <c r="AH2" s="274">
        <v>15</v>
      </c>
      <c r="AI2" s="275"/>
      <c r="AJ2" s="275"/>
      <c r="AK2" s="275"/>
      <c r="AL2" s="276"/>
      <c r="AM2" s="274">
        <v>20</v>
      </c>
      <c r="AN2" s="275"/>
      <c r="AO2" s="275"/>
      <c r="AP2" s="275"/>
      <c r="AQ2" s="276"/>
      <c r="AR2" s="274">
        <v>25</v>
      </c>
      <c r="AS2" s="275"/>
      <c r="AT2" s="275"/>
      <c r="AU2" s="275"/>
      <c r="AV2" s="542"/>
      <c r="AW2" s="550">
        <v>30</v>
      </c>
      <c r="AX2" s="275"/>
      <c r="AY2" s="548"/>
      <c r="AZ2" s="275"/>
      <c r="BA2" s="276"/>
      <c r="BB2" s="640" t="s">
        <v>1291</v>
      </c>
    </row>
    <row r="3" spans="1:54" s="308" customFormat="1" ht="9.9499999999999993" customHeight="1">
      <c r="A3" s="731"/>
      <c r="B3" s="733"/>
      <c r="C3" s="729"/>
      <c r="D3" s="307" t="s">
        <v>1167</v>
      </c>
      <c r="E3" s="309" t="s">
        <v>609</v>
      </c>
      <c r="F3" s="310" t="s">
        <v>10</v>
      </c>
      <c r="G3" s="310" t="s">
        <v>73</v>
      </c>
      <c r="H3" s="310" t="s">
        <v>223</v>
      </c>
      <c r="I3" s="310" t="s">
        <v>31</v>
      </c>
      <c r="J3" s="311" t="s">
        <v>127</v>
      </c>
      <c r="K3" s="309" t="s">
        <v>610</v>
      </c>
      <c r="L3" s="310" t="s">
        <v>611</v>
      </c>
      <c r="M3" s="310" t="s">
        <v>612</v>
      </c>
      <c r="N3" s="310" t="s">
        <v>613</v>
      </c>
      <c r="O3" s="311" t="s">
        <v>614</v>
      </c>
      <c r="P3" s="309" t="s">
        <v>615</v>
      </c>
      <c r="Q3" s="310" t="s">
        <v>616</v>
      </c>
      <c r="R3" s="310" t="s">
        <v>617</v>
      </c>
      <c r="S3" s="311" t="s">
        <v>618</v>
      </c>
      <c r="T3" s="309" t="s">
        <v>1168</v>
      </c>
      <c r="U3" s="310" t="s">
        <v>619</v>
      </c>
      <c r="V3" s="310" t="s">
        <v>620</v>
      </c>
      <c r="W3" s="311" t="s">
        <v>621</v>
      </c>
      <c r="X3" s="309" t="s">
        <v>622</v>
      </c>
      <c r="Y3" s="310" t="s">
        <v>36</v>
      </c>
      <c r="Z3" s="310" t="s">
        <v>623</v>
      </c>
      <c r="AA3" s="310" t="s">
        <v>545</v>
      </c>
      <c r="AB3" s="311" t="s">
        <v>255</v>
      </c>
      <c r="AC3" s="309" t="s">
        <v>624</v>
      </c>
      <c r="AD3" s="310" t="s">
        <v>625</v>
      </c>
      <c r="AE3" s="310" t="s">
        <v>626</v>
      </c>
      <c r="AF3" s="310" t="s">
        <v>627</v>
      </c>
      <c r="AG3" s="311" t="s">
        <v>543</v>
      </c>
      <c r="AH3" s="309" t="s">
        <v>628</v>
      </c>
      <c r="AI3" s="310" t="s">
        <v>555</v>
      </c>
      <c r="AJ3" s="310" t="s">
        <v>343</v>
      </c>
      <c r="AK3" s="310" t="s">
        <v>345</v>
      </c>
      <c r="AL3" s="311" t="s">
        <v>629</v>
      </c>
      <c r="AM3" s="309" t="s">
        <v>554</v>
      </c>
      <c r="AN3" s="310" t="s">
        <v>630</v>
      </c>
      <c r="AO3" s="310" t="s">
        <v>556</v>
      </c>
      <c r="AP3" s="310" t="s">
        <v>550</v>
      </c>
      <c r="AQ3" s="311" t="s">
        <v>552</v>
      </c>
      <c r="AR3" s="309" t="s">
        <v>553</v>
      </c>
      <c r="AS3" s="310" t="s">
        <v>551</v>
      </c>
      <c r="AT3" s="310" t="s">
        <v>548</v>
      </c>
      <c r="AU3" s="310" t="s">
        <v>549</v>
      </c>
      <c r="AV3" s="543" t="s">
        <v>535</v>
      </c>
      <c r="AW3" s="551" t="s">
        <v>536</v>
      </c>
      <c r="AX3" s="310" t="s">
        <v>1284</v>
      </c>
      <c r="AY3" s="543" t="s">
        <v>1294</v>
      </c>
      <c r="AZ3" s="575" t="s">
        <v>1352</v>
      </c>
      <c r="BA3" s="643" t="s">
        <v>1292</v>
      </c>
      <c r="BB3" s="641" t="s">
        <v>1291</v>
      </c>
    </row>
    <row r="4" spans="1:54">
      <c r="A4" s="277" t="s">
        <v>1144</v>
      </c>
      <c r="B4" s="262"/>
      <c r="C4" s="297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644"/>
      <c r="BB4" s="285"/>
    </row>
    <row r="5" spans="1:54">
      <c r="A5" s="300" t="s">
        <v>376</v>
      </c>
      <c r="B5" s="301" t="s">
        <v>1154</v>
      </c>
      <c r="C5" s="298" t="str">
        <f ca="1">INDIRECT(ADDRESS(MATCH(A5,【全期間】成果表実測値!$B:$B,0),5,4,TRUE,"【閲覧用】成果表"))</f>
        <v>栄小学校</v>
      </c>
      <c r="D5" s="295" t="e">
        <f>IF(D33="",NA(),D33)</f>
        <v>#N/A</v>
      </c>
      <c r="E5" s="281" t="e">
        <f>IF(E33="",NA(),SUM($D33:E33))</f>
        <v>#N/A</v>
      </c>
      <c r="F5" s="282">
        <f>IF(F33="",NA(),SUM($D33:F33))</f>
        <v>0</v>
      </c>
      <c r="G5" s="282">
        <f ca="1">IF(G33="",NA(),SUM($D33:G33))</f>
        <v>-19.399999999999999</v>
      </c>
      <c r="H5" s="282">
        <f ca="1">IF(H33="",NA(),SUM($D33:H33))</f>
        <v>-38.4</v>
      </c>
      <c r="I5" s="282">
        <f ca="1">IF(I33="",NA(),SUM($D33:I33))</f>
        <v>-68</v>
      </c>
      <c r="J5" s="283">
        <f ca="1">IF(J33="",NA(),SUM($D33:J33))</f>
        <v>-97.7</v>
      </c>
      <c r="K5" s="281">
        <f ca="1">IF(K33="",NA(),SUM($D33:K33))</f>
        <v>-112.5</v>
      </c>
      <c r="L5" s="282">
        <f ca="1">IF(L33="",NA(),SUM($D33:L33))</f>
        <v>-113.8</v>
      </c>
      <c r="M5" s="282">
        <f ca="1">IF(M33="",NA(),SUM($D33:M33))</f>
        <v>-128.4</v>
      </c>
      <c r="N5" s="282">
        <f ca="1">IF(N33="",NA(),SUM($D33:N33))</f>
        <v>-133.5</v>
      </c>
      <c r="O5" s="283">
        <f ca="1">IF(O33="",NA(),SUM($D33:O33))</f>
        <v>-169.1</v>
      </c>
      <c r="P5" s="281" t="e">
        <f ca="1">IF(P33="",NA(),SUM($D33:P33))</f>
        <v>#N/A</v>
      </c>
      <c r="Q5" s="282">
        <f ca="1">IF(Q33="",NA(),SUM($D33:Q33))</f>
        <v>-216.7</v>
      </c>
      <c r="R5" s="282">
        <f ca="1">IF(R33="",NA(),SUM($D33:R33))</f>
        <v>-228.7</v>
      </c>
      <c r="S5" s="283">
        <f ca="1">IF(S33="",NA(),SUM($D33:S33))</f>
        <v>-230.2</v>
      </c>
      <c r="T5" s="281">
        <f ca="1">IF(T33="",NA(),SUM($D33:T33))</f>
        <v>-244.6</v>
      </c>
      <c r="U5" s="282">
        <f ca="1">IF(U33="",NA(),SUM($D33:U33))</f>
        <v>-250.4</v>
      </c>
      <c r="V5" s="282">
        <f ca="1">IF(V33="",NA(),SUM($D33:V33))</f>
        <v>-268.60000000000002</v>
      </c>
      <c r="W5" s="283">
        <f ca="1">IF(W33="",NA(),SUM($D33:W33))</f>
        <v>-271</v>
      </c>
      <c r="X5" s="281">
        <f ca="1">IF(X33="",NA(),SUM($D33:X33))</f>
        <v>-271.7</v>
      </c>
      <c r="Y5" s="282">
        <f ca="1">IF(Y33="",NA(),SUM($D33:Y33))</f>
        <v>-281.3</v>
      </c>
      <c r="Z5" s="282">
        <f ca="1">IF(Z33="",NA(),SUM($D33:Z33))</f>
        <v>-288.2</v>
      </c>
      <c r="AA5" s="282">
        <f ca="1">IF(AA33="",NA(),SUM($D33:AA33))</f>
        <v>-291</v>
      </c>
      <c r="AB5" s="283">
        <f ca="1">IF(AB33="",NA(),SUM($D33:AB33))</f>
        <v>-302.39999999999998</v>
      </c>
      <c r="AC5" s="281">
        <f ca="1">IF(AC33="",NA(),SUM($D33:AC33))</f>
        <v>-304.7</v>
      </c>
      <c r="AD5" s="282">
        <f ca="1">IF(AD33="",NA(),SUM($D33:AD33))</f>
        <v>-307.5</v>
      </c>
      <c r="AE5" s="282">
        <f ca="1">IF(AE33="",NA(),SUM($D33:AE33))</f>
        <v>-313</v>
      </c>
      <c r="AF5" s="282">
        <f ca="1">IF(AF33="",NA(),SUM($D33:AF33))</f>
        <v>-320.2000000000001</v>
      </c>
      <c r="AG5" s="283">
        <f ca="1">IF(AG33="",NA(),SUM($D33:AG33))</f>
        <v>-314.50000000000011</v>
      </c>
      <c r="AH5" s="281">
        <f ca="1">IF(AH33="",NA(),SUM($D33:AH33))</f>
        <v>-323.30000000000013</v>
      </c>
      <c r="AI5" s="282">
        <f ca="1">IF(AI33="",NA(),SUM($D33:AI33))</f>
        <v>-329.10000000000014</v>
      </c>
      <c r="AJ5" s="282">
        <f ca="1">IF(AJ33="",NA(),SUM($D33:AJ33))</f>
        <v>-331.50000000000011</v>
      </c>
      <c r="AK5" s="282">
        <f ca="1">IF(AK33="",NA(),SUM($D33:AK33))</f>
        <v>-332.80000000000013</v>
      </c>
      <c r="AL5" s="283">
        <f ca="1">IF(AL33="",NA(),SUM($D33:AL33))</f>
        <v>-334.90000000000015</v>
      </c>
      <c r="AM5" s="281" t="e">
        <f ca="1">IF(AM33="",NA(),SUM($D33:AM33))</f>
        <v>#N/A</v>
      </c>
      <c r="AN5" s="282" t="e">
        <f ca="1">IF(AN33="",NA(),SUM($D33:AN33))</f>
        <v>#N/A</v>
      </c>
      <c r="AO5" s="282" t="e">
        <f ca="1">IF(AO33="",NA(),SUM($D33:AO33))</f>
        <v>#N/A</v>
      </c>
      <c r="AP5" s="282">
        <f ca="1">IF(AP33="",NA(),SUM($D33:AP33))</f>
        <v>-340.80000000000013</v>
      </c>
      <c r="AQ5" s="283">
        <f ca="1">IF(AQ33="",NA(),SUM($D33:AQ33))</f>
        <v>-348.30000000000013</v>
      </c>
      <c r="AR5" s="281" t="e">
        <f ca="1">IF(AR33="",NA(),SUM($D33:AR33))</f>
        <v>#N/A</v>
      </c>
      <c r="AS5" s="282">
        <f ca="1">IF(AS33="",NA(),SUM($D33:AS33))</f>
        <v>-346.30000000000013</v>
      </c>
      <c r="AT5" s="282" t="e">
        <f ca="1">IF(AT33="",NA(),SUM($D33:AT33))</f>
        <v>#N/A</v>
      </c>
      <c r="AU5" s="282" t="e">
        <f ca="1">IF(AU33="",NA(),SUM($D33:AU33))</f>
        <v>#N/A</v>
      </c>
      <c r="AV5" s="544">
        <f ca="1">IF(AV33="",NA(),SUM($D33:AV33))</f>
        <v>-347.90000000000015</v>
      </c>
      <c r="AW5" s="552" t="e">
        <f ca="1">IF(AW33="",NA(),SUM($D33:AW33))</f>
        <v>#N/A</v>
      </c>
      <c r="AX5" s="282">
        <f ca="1">IF(AX33="",NA(),SUM($D33:AX33))</f>
        <v>-353.69999999999993</v>
      </c>
      <c r="AY5" s="475" t="e">
        <f ca="1">IF(AY33="",NA(),SUM($D33:AY33))</f>
        <v>#N/A</v>
      </c>
      <c r="AZ5" s="282" t="e">
        <f ca="1">IF(AZ33="",NA(),SUM($D33:AZ33))</f>
        <v>#N/A</v>
      </c>
      <c r="BA5" s="283">
        <f ca="1">IF(BA33="",NA(),SUM($D33:BA33))</f>
        <v>-360.29999999999967</v>
      </c>
      <c r="BB5" s="642" t="e">
        <f ca="1">IF(BB33="",NA(),SUM($D33:BB33))</f>
        <v>#N/A</v>
      </c>
    </row>
    <row r="6" spans="1:54">
      <c r="A6" s="300" t="s">
        <v>1282</v>
      </c>
      <c r="B6" s="301" t="s">
        <v>1155</v>
      </c>
      <c r="C6" s="298" t="str">
        <f ca="1">INDIRECT(ADDRESS(MATCH(A6,【全期間】成果表実測値!$B:$B,0),5,4,TRUE,"【閲覧用】成果表"))</f>
        <v>北栄中学校</v>
      </c>
      <c r="D6" s="295">
        <f>IF(D34="",NA(),D34)</f>
        <v>0</v>
      </c>
      <c r="E6" s="281">
        <f ca="1">IF(E34="",NA(),SUM($D34:E34))</f>
        <v>-32.700000000000003</v>
      </c>
      <c r="F6" s="282">
        <f ca="1">IF(F34="",NA(),SUM($D34:F34))</f>
        <v>-67.800000000000011</v>
      </c>
      <c r="G6" s="282">
        <f ca="1">IF(G34="",NA(),SUM($D34:G34))</f>
        <v>-107.60000000000001</v>
      </c>
      <c r="H6" s="282">
        <f ca="1">IF(H34="",NA(),SUM($D34:H34))</f>
        <v>-98.300000000000011</v>
      </c>
      <c r="I6" s="282">
        <f ca="1">IF(I34="",NA(),SUM($D34:I34))</f>
        <v>-112.20000000000002</v>
      </c>
      <c r="J6" s="283">
        <f ca="1">IF(J34="",NA(),SUM($D34:J34))</f>
        <v>-165.70000000000002</v>
      </c>
      <c r="K6" s="281">
        <f ca="1">IF(K34="",NA(),SUM($D34:K34))</f>
        <v>-185.8</v>
      </c>
      <c r="L6" s="282">
        <f ca="1">IF(L34="",NA(),SUM($D34:L34))</f>
        <v>-187.8</v>
      </c>
      <c r="M6" s="282">
        <f ca="1">IF(M34="",NA(),SUM($D34:M34))</f>
        <v>-219</v>
      </c>
      <c r="N6" s="282">
        <f ca="1">IF(N34="",NA(),SUM($D34:N34))</f>
        <v>-247.1</v>
      </c>
      <c r="O6" s="283">
        <f ca="1">IF(O34="",NA(),SUM($D34:O34))</f>
        <v>-331</v>
      </c>
      <c r="P6" s="281">
        <f ca="1">IF(P34="",NA(),SUM($D34:P34))</f>
        <v>-377.3</v>
      </c>
      <c r="Q6" s="282">
        <f ca="1">IF(Q34="",NA(),SUM($D34:Q34))</f>
        <v>-386.7</v>
      </c>
      <c r="R6" s="282">
        <f ca="1">IF(R34="",NA(),SUM($D34:R34))</f>
        <v>-375.9</v>
      </c>
      <c r="S6" s="283">
        <f ca="1">IF(S34="",NA(),SUM($D34:S34))</f>
        <v>-377.2</v>
      </c>
      <c r="T6" s="281">
        <f ca="1">IF(T34="",NA(),SUM($D34:T34))</f>
        <v>-387.7</v>
      </c>
      <c r="U6" s="282">
        <f ca="1">IF(U34="",NA(),SUM($D34:U34))</f>
        <v>-384.9</v>
      </c>
      <c r="V6" s="282">
        <f ca="1">IF(V34="",NA(),SUM($D34:V34))</f>
        <v>-394.59999999999997</v>
      </c>
      <c r="W6" s="283">
        <f ca="1">IF(W34="",NA(),SUM($D34:W34))</f>
        <v>-394.59999999999997</v>
      </c>
      <c r="X6" s="281">
        <f ca="1">IF(X34="",NA(),SUM($D34:X34))</f>
        <v>-391.99999999999994</v>
      </c>
      <c r="Y6" s="282">
        <f ca="1">IF(Y34="",NA(),SUM($D34:Y34))</f>
        <v>-397.99999999999994</v>
      </c>
      <c r="Z6" s="282">
        <f ca="1">IF(Z34="",NA(),SUM($D34:Z34))</f>
        <v>-404.59999999999997</v>
      </c>
      <c r="AA6" s="282">
        <f ca="1">IF(AA34="",NA(),SUM($D34:AA34))</f>
        <v>-401.99999999999994</v>
      </c>
      <c r="AB6" s="283">
        <f ca="1">IF(AB34="",NA(),SUM($D34:AB34))</f>
        <v>-412.09999999999997</v>
      </c>
      <c r="AC6" s="281">
        <f ca="1">IF(AC34="",NA(),SUM($D34:AC34))</f>
        <v>-416.79999999999995</v>
      </c>
      <c r="AD6" s="282">
        <f ca="1">IF(AD34="",NA(),SUM($D34:AD34))</f>
        <v>-416.19999999999993</v>
      </c>
      <c r="AE6" s="282">
        <f ca="1">IF(AE34="",NA(),SUM($D34:AE34))</f>
        <v>-419.09999999999991</v>
      </c>
      <c r="AF6" s="282">
        <f ca="1">IF(AF34="",NA(),SUM($D34:AF34))</f>
        <v>-426.20000000000022</v>
      </c>
      <c r="AG6" s="283">
        <f ca="1">IF(AG34="",NA(),SUM($D34:AG34))</f>
        <v>-421.30000000000024</v>
      </c>
      <c r="AH6" s="281">
        <f ca="1">IF(AH34="",NA(),SUM($D34:AH34))</f>
        <v>-428.60000000000025</v>
      </c>
      <c r="AI6" s="282">
        <f ca="1">IF(AI34="",NA(),SUM($D34:AI34))</f>
        <v>-434.90000000000026</v>
      </c>
      <c r="AJ6" s="282">
        <f ca="1">IF(AJ34="",NA(),SUM($D34:AJ34))</f>
        <v>-438.40000000000026</v>
      </c>
      <c r="AK6" s="282">
        <f ca="1">IF(AK34="",NA(),SUM($D34:AK34))</f>
        <v>-444.20000000000027</v>
      </c>
      <c r="AL6" s="283" t="e">
        <f ca="1">IF(AL34="",NA(),SUM($D34:AL34))</f>
        <v>#N/A</v>
      </c>
      <c r="AM6" s="281" t="e">
        <f ca="1">IF(AM34="",NA(),SUM($D34:AM34))</f>
        <v>#N/A</v>
      </c>
      <c r="AN6" s="282" t="e">
        <f ca="1">IF(AN34="",NA(),SUM($D34:AN34))</f>
        <v>#N/A</v>
      </c>
      <c r="AO6" s="282" t="e">
        <f ca="1">IF(AO34="",NA(),SUM($D34:AO34))</f>
        <v>#N/A</v>
      </c>
      <c r="AP6" s="282">
        <f ca="1">IF(AP34="",NA(),SUM($D34:AP34))</f>
        <v>-458.3000000000003</v>
      </c>
      <c r="AQ6" s="283">
        <f ca="1">IF(AQ34="",NA(),SUM($D34:AQ34))</f>
        <v>-465.00000000000028</v>
      </c>
      <c r="AR6" s="281">
        <f ca="1">IF(AR34="",NA(),SUM($D34:AR34))</f>
        <v>-461.8000000000003</v>
      </c>
      <c r="AS6" s="282" t="e">
        <f ca="1">IF(AS34="",NA(),SUM($D34:AS34))</f>
        <v>#N/A</v>
      </c>
      <c r="AT6" s="282" t="e">
        <f ca="1">IF(AT34="",NA(),SUM($D34:AT34))</f>
        <v>#N/A</v>
      </c>
      <c r="AU6" s="282" t="e">
        <f ca="1">IF(AU34="",NA(),SUM($D34:AU34))</f>
        <v>#N/A</v>
      </c>
      <c r="AV6" s="544">
        <f ca="1">IF(AV34="",NA(),SUM($D34:AV34))</f>
        <v>-463.50000000000028</v>
      </c>
      <c r="AW6" s="552">
        <f ca="1">IF(AW34="",NA(),SUM($D34:AW34))</f>
        <v>-469.20000000000033</v>
      </c>
      <c r="AX6" s="282" t="e">
        <f ca="1">IF(AX34="",NA(),SUM($D34:AX34))</f>
        <v>#N/A</v>
      </c>
      <c r="AY6" s="475" t="e">
        <f ca="1">IF(AY34="",NA(),SUM($D34:AY34))</f>
        <v>#N/A</v>
      </c>
      <c r="AZ6" s="282" t="e">
        <f ca="1">IF(AZ34="",NA(),SUM($D34:AZ34))</f>
        <v>#N/A</v>
      </c>
      <c r="BA6" s="283" t="e">
        <f ca="1">IF(BA34="",NA(),SUM($D34:BA34))</f>
        <v>#N/A</v>
      </c>
      <c r="BB6" s="642" t="e">
        <f ca="1">IF(BB34="",NA(),SUM($D34:BB34))</f>
        <v>#N/A</v>
      </c>
    </row>
    <row r="7" spans="1:54">
      <c r="A7" s="300" t="s">
        <v>362</v>
      </c>
      <c r="B7" s="301" t="s">
        <v>1156</v>
      </c>
      <c r="C7" s="298" t="str">
        <f ca="1">INDIRECT(ADDRESS(MATCH(A7,【全期間】成果表実測値!$B:$B,0),5,4,TRUE,"【閲覧用】成果表"))</f>
        <v>新陵東小学校</v>
      </c>
      <c r="D7" s="295" t="e">
        <f>IF(D35="",NA(),D35)</f>
        <v>#N/A</v>
      </c>
      <c r="E7" s="281" t="e">
        <f>IF(E35="",NA(),SUM($D35:E35))</f>
        <v>#N/A</v>
      </c>
      <c r="F7" s="282">
        <f>IF(F35="",NA(),SUM($D35:F35))</f>
        <v>0</v>
      </c>
      <c r="G7" s="282">
        <f ca="1">IF(G35="",NA(),SUM($D35:G35))</f>
        <v>-44</v>
      </c>
      <c r="H7" s="282">
        <f ca="1">IF(H35="",NA(),SUM($D35:H35))</f>
        <v>-77.2</v>
      </c>
      <c r="I7" s="282">
        <f ca="1">IF(I35="",NA(),SUM($D35:I35))</f>
        <v>-99.300000000000011</v>
      </c>
      <c r="J7" s="283">
        <f ca="1">IF(J35="",NA(),SUM($D35:J35))</f>
        <v>-140.80000000000001</v>
      </c>
      <c r="K7" s="281">
        <f ca="1">IF(K35="",NA(),SUM($D35:K35))</f>
        <v>-160.4</v>
      </c>
      <c r="L7" s="282">
        <f ca="1">IF(L35="",NA(),SUM($D35:L35))</f>
        <v>-159.4</v>
      </c>
      <c r="M7" s="282" t="e">
        <f ca="1">IF(M35="",NA(),SUM($D35:M35))</f>
        <v>#N/A</v>
      </c>
      <c r="N7" s="282" t="e">
        <f ca="1">IF(N35="",NA(),SUM($D35:N35))</f>
        <v>#N/A</v>
      </c>
      <c r="O7" s="283">
        <f ca="1">IF(O35="",NA(),SUM($D35:O35))</f>
        <v>-257</v>
      </c>
      <c r="P7" s="281" t="e">
        <f ca="1">IF(P35="",NA(),SUM($D35:P35))</f>
        <v>#N/A</v>
      </c>
      <c r="Q7" s="282" t="e">
        <f ca="1">IF(Q35="",NA(),SUM($D35:Q35))</f>
        <v>#N/A</v>
      </c>
      <c r="R7" s="282" t="e">
        <f ca="1">IF(R35="",NA(),SUM($D35:R35))</f>
        <v>#N/A</v>
      </c>
      <c r="S7" s="283" t="e">
        <f ca="1">IF(S35="",NA(),SUM($D35:S35))</f>
        <v>#N/A</v>
      </c>
      <c r="T7" s="281" t="e">
        <f ca="1">IF(T35="",NA(),SUM($D35:T35))</f>
        <v>#N/A</v>
      </c>
      <c r="U7" s="282">
        <f ca="1">IF(U35="",NA(),SUM($D35:U35))</f>
        <v>-365.3</v>
      </c>
      <c r="V7" s="282" t="e">
        <f ca="1">IF(V35="",NA(),SUM($D35:V35))</f>
        <v>#N/A</v>
      </c>
      <c r="W7" s="283" t="e">
        <f ca="1">IF(W35="",NA(),SUM($D35:W35))</f>
        <v>#N/A</v>
      </c>
      <c r="X7" s="281" t="e">
        <f ca="1">IF(X35="",NA(),SUM($D35:X35))</f>
        <v>#N/A</v>
      </c>
      <c r="Y7" s="282" t="e">
        <f ca="1">IF(Y35="",NA(),SUM($D35:Y35))</f>
        <v>#N/A</v>
      </c>
      <c r="Z7" s="282" t="e">
        <f ca="1">IF(Z35="",NA(),SUM($D35:Z35))</f>
        <v>#N/A</v>
      </c>
      <c r="AA7" s="282">
        <f ca="1">IF(AA35="",NA(),SUM($D35:AA35))</f>
        <v>-413.6</v>
      </c>
      <c r="AB7" s="283" t="e">
        <f ca="1">IF(AB35="",NA(),SUM($D35:AB35))</f>
        <v>#N/A</v>
      </c>
      <c r="AC7" s="281" t="e">
        <f ca="1">IF(AC35="",NA(),SUM($D35:AC35))</f>
        <v>#N/A</v>
      </c>
      <c r="AD7" s="282" t="e">
        <f ca="1">IF(AD35="",NA(),SUM($D35:AD35))</f>
        <v>#N/A</v>
      </c>
      <c r="AE7" s="282" t="e">
        <f ca="1">IF(AE35="",NA(),SUM($D35:AE35))</f>
        <v>#N/A</v>
      </c>
      <c r="AF7" s="282" t="e">
        <f ca="1">IF(AF35="",NA(),SUM($D35:AF35))</f>
        <v>#N/A</v>
      </c>
      <c r="AG7" s="283">
        <f ca="1">IF(AG35="",NA(),SUM($D35:AG35))</f>
        <v>-458.6</v>
      </c>
      <c r="AH7" s="281">
        <f ca="1">IF(AH35="",NA(),SUM($D35:AH35))</f>
        <v>-470.40000000000003</v>
      </c>
      <c r="AI7" s="282" t="e">
        <f ca="1">IF(AI35="",NA(),SUM($D35:AI35))</f>
        <v>#N/A</v>
      </c>
      <c r="AJ7" s="282">
        <f ca="1">IF(AJ35="",NA(),SUM($D35:AJ35))</f>
        <v>-487.1</v>
      </c>
      <c r="AK7" s="282" t="e">
        <f ca="1">IF(AK35="",NA(),SUM($D35:AK35))</f>
        <v>#N/A</v>
      </c>
      <c r="AL7" s="283" t="e">
        <f ca="1">IF(AL35="",NA(),SUM($D35:AL35))</f>
        <v>#N/A</v>
      </c>
      <c r="AM7" s="281" t="e">
        <f ca="1">IF(AM35="",NA(),SUM($D35:AM35))</f>
        <v>#N/A</v>
      </c>
      <c r="AN7" s="282" t="e">
        <f ca="1">IF(AN35="",NA(),SUM($D35:AN35))</f>
        <v>#N/A</v>
      </c>
      <c r="AO7" s="282" t="e">
        <f ca="1">IF(AO35="",NA(),SUM($D35:AO35))</f>
        <v>#N/A</v>
      </c>
      <c r="AP7" s="282">
        <f ca="1">IF(AP35="",NA(),SUM($D35:AP35))</f>
        <v>-527.9</v>
      </c>
      <c r="AQ7" s="283" t="e">
        <f ca="1">IF(AQ35="",NA(),SUM($D35:AQ35))</f>
        <v>#N/A</v>
      </c>
      <c r="AR7" s="281" t="e">
        <f ca="1">IF(AR35="",NA(),SUM($D35:AR35))</f>
        <v>#N/A</v>
      </c>
      <c r="AS7" s="282" t="e">
        <f ca="1">IF(AS35="",NA(),SUM($D35:AS35))</f>
        <v>#N/A</v>
      </c>
      <c r="AT7" s="282" t="e">
        <f ca="1">IF(AT35="",NA(),SUM($D35:AT35))</f>
        <v>#N/A</v>
      </c>
      <c r="AU7" s="282">
        <f ca="1">IF(AU35="",NA(),SUM($D35:AU35))</f>
        <v>-538.4</v>
      </c>
      <c r="AV7" s="544" t="e">
        <f ca="1">IF(AV35="",NA(),SUM($D35:AV35))</f>
        <v>#N/A</v>
      </c>
      <c r="AW7" s="552" t="e">
        <f ca="1">IF(AW35="",NA(),SUM($D35:AW35))</f>
        <v>#N/A</v>
      </c>
      <c r="AX7" s="282" t="e">
        <f ca="1">IF(AX35="",NA(),SUM($D35:AX35))</f>
        <v>#N/A</v>
      </c>
      <c r="AY7" s="475" t="e">
        <f ca="1">IF(AY35="",NA(),SUM($D35:AY35))</f>
        <v>#N/A</v>
      </c>
      <c r="AZ7" s="282">
        <f ca="1">IF(AZ35="",NA(),SUM($D35:AZ35))</f>
        <v>-579.79999999999984</v>
      </c>
      <c r="BA7" s="283" t="e">
        <f ca="1">IF(BA35="",NA(),SUM($D35:BA35))</f>
        <v>#N/A</v>
      </c>
      <c r="BB7" s="642">
        <f ca="1">IF(BB35="",NA(),SUM($D35:BB35))</f>
        <v>-580.69999999999993</v>
      </c>
    </row>
    <row r="8" spans="1:54">
      <c r="A8" s="300" t="s">
        <v>1138</v>
      </c>
      <c r="B8" s="301" t="s">
        <v>1145</v>
      </c>
      <c r="C8" s="298" t="str">
        <f ca="1">INDIRECT(ADDRESS(MATCH(A8,【全期間】成果表実測値!$B:$B,0),5,4,TRUE,"【閲覧用】成果表"))</f>
        <v>北大獣医学部</v>
      </c>
      <c r="D8" s="295" t="e">
        <f>IF(D36="",NA(),D36)</f>
        <v>#N/A</v>
      </c>
      <c r="E8" s="281" t="e">
        <f>IF(E36="",NA(),SUM($D36:E36))</f>
        <v>#N/A</v>
      </c>
      <c r="F8" s="282" t="e">
        <f>IF(F36="",NA(),SUM($D36:F36))</f>
        <v>#N/A</v>
      </c>
      <c r="G8" s="282" t="e">
        <f>IF(G36="",NA(),SUM($D36:G36))</f>
        <v>#N/A</v>
      </c>
      <c r="H8" s="282" t="e">
        <f>IF(H36="",NA(),SUM($D36:H36))</f>
        <v>#N/A</v>
      </c>
      <c r="I8" s="282">
        <f>IF(I36="",NA(),SUM($D36:I36))</f>
        <v>0</v>
      </c>
      <c r="J8" s="283">
        <f ca="1">IF(J36="",NA(),SUM($D36:J36))</f>
        <v>-29.5</v>
      </c>
      <c r="K8" s="281">
        <f ca="1">IF(K36="",NA(),SUM($D36:K36))</f>
        <v>-42.7</v>
      </c>
      <c r="L8" s="282">
        <f ca="1">IF(L36="",NA(),SUM($D36:L36))</f>
        <v>-18.900000000000002</v>
      </c>
      <c r="M8" s="282">
        <f ca="1">IF(M36="",NA(),SUM($D36:M36))</f>
        <v>-51.7</v>
      </c>
      <c r="N8" s="282">
        <f ca="1">IF(N36="",NA(),SUM($D36:N36))</f>
        <v>-54.1</v>
      </c>
      <c r="O8" s="283">
        <f ca="1">IF(O36="",NA(),SUM($D36:O36))</f>
        <v>-71.3</v>
      </c>
      <c r="P8" s="281">
        <f ca="1">IF(P36="",NA(),SUM($D36:P36))</f>
        <v>-108.1</v>
      </c>
      <c r="Q8" s="282">
        <f ca="1">IF(Q36="",NA(),SUM($D36:Q36))</f>
        <v>-114.5</v>
      </c>
      <c r="R8" s="282">
        <f ca="1">IF(R36="",NA(),SUM($D36:R36))</f>
        <v>-119.2</v>
      </c>
      <c r="S8" s="283">
        <f ca="1">IF(S36="",NA(),SUM($D36:S36))</f>
        <v>-110.4</v>
      </c>
      <c r="T8" s="281">
        <f ca="1">IF(T36="",NA(),SUM($D36:T36))</f>
        <v>-119.60000000000001</v>
      </c>
      <c r="U8" s="282">
        <f ca="1">IF(U36="",NA(),SUM($D36:U36))</f>
        <v>-132.9</v>
      </c>
      <c r="V8" s="282">
        <f ca="1">IF(V36="",NA(),SUM($D36:V36))</f>
        <v>-171</v>
      </c>
      <c r="W8" s="283">
        <f ca="1">IF(W36="",NA(),SUM($D36:W36))</f>
        <v>-161.1</v>
      </c>
      <c r="X8" s="281">
        <f ca="1">IF(X36="",NA(),SUM($D36:X36))</f>
        <v>-160.79999999999998</v>
      </c>
      <c r="Y8" s="282">
        <f ca="1">IF(Y36="",NA(),SUM($D36:Y36))</f>
        <v>-168.29999999999998</v>
      </c>
      <c r="Z8" s="282">
        <f ca="1">IF(Z36="",NA(),SUM($D36:Z36))</f>
        <v>-175.29999999999998</v>
      </c>
      <c r="AA8" s="282">
        <f ca="1">IF(AA36="",NA(),SUM($D36:AA36))</f>
        <v>-168.99999999999997</v>
      </c>
      <c r="AB8" s="283">
        <f ca="1">IF(AB36="",NA(),SUM($D36:AB36))</f>
        <v>-174.49999999999997</v>
      </c>
      <c r="AC8" s="281" t="e">
        <f ca="1">IF(AC36="",NA(),SUM($D36:AC36))</f>
        <v>#N/A</v>
      </c>
      <c r="AD8" s="282" t="e">
        <f ca="1">IF(AD36="",NA(),SUM($D36:AD36))</f>
        <v>#N/A</v>
      </c>
      <c r="AE8" s="282">
        <f ca="1">IF(AE36="",NA(),SUM($D36:AE36))</f>
        <v>-179.39999999999998</v>
      </c>
      <c r="AF8" s="282">
        <f ca="1">IF(AF36="",NA(),SUM($D36:AF36))</f>
        <v>-179.80000000000081</v>
      </c>
      <c r="AG8" s="283">
        <f ca="1">IF(AG36="",NA(),SUM($D36:AG36))</f>
        <v>-173.9000000000008</v>
      </c>
      <c r="AH8" s="281">
        <f ca="1">IF(AH36="",NA(),SUM($D36:AH36))</f>
        <v>-187.60000000000079</v>
      </c>
      <c r="AI8" s="282" t="e">
        <f ca="1">IF(AI36="",NA(),SUM($D36:AI36))</f>
        <v>#N/A</v>
      </c>
      <c r="AJ8" s="282">
        <f ca="1">IF(AJ36="",NA(),SUM($D36:AJ36))</f>
        <v>-196.60000000000079</v>
      </c>
      <c r="AK8" s="282">
        <f ca="1">IF(AK36="",NA(),SUM($D36:AK36))</f>
        <v>-201.9000000000008</v>
      </c>
      <c r="AL8" s="283">
        <f ca="1">IF(AL36="",NA(),SUM($D36:AL36))</f>
        <v>-207.30000000000081</v>
      </c>
      <c r="AM8" s="281">
        <f ca="1">IF(AM36="",NA(),SUM($D36:AM36))</f>
        <v>-219.4000000000008</v>
      </c>
      <c r="AN8" s="282">
        <f ca="1">IF(AN36="",NA(),SUM($D36:AN36))</f>
        <v>-222.9000000000008</v>
      </c>
      <c r="AO8" s="282">
        <f ca="1">IF(AO36="",NA(),SUM($D36:AO36))</f>
        <v>-221.4000000000008</v>
      </c>
      <c r="AP8" s="282">
        <f ca="1">IF(AP36="",NA(),SUM($D36:AP36))</f>
        <v>-222.0000000000008</v>
      </c>
      <c r="AQ8" s="283">
        <f ca="1">IF(AQ36="",NA(),SUM($D36:AQ36))</f>
        <v>-226.20000000000078</v>
      </c>
      <c r="AR8" s="281" t="e">
        <f ca="1">IF(AR36="",NA(),SUM($D36:AR36))</f>
        <v>#N/A</v>
      </c>
      <c r="AS8" s="282" t="e">
        <f ca="1">IF(AS36="",NA(),SUM($D36:AS36))</f>
        <v>#N/A</v>
      </c>
      <c r="AT8" s="282">
        <f ca="1">IF(AT36="",NA(),SUM($D36:AT36))</f>
        <v>-226.0000000000008</v>
      </c>
      <c r="AU8" s="282">
        <f ca="1">IF(AU36="",NA(),SUM($D36:AU36))</f>
        <v>-224.20000000000078</v>
      </c>
      <c r="AV8" s="544">
        <f ca="1">IF(AV36="",NA(),SUM($D36:AV36))</f>
        <v>-226.20000000000078</v>
      </c>
      <c r="AW8" s="552" t="e">
        <f ca="1">IF(AW36="",NA(),SUM($D36:AW36))</f>
        <v>#N/A</v>
      </c>
      <c r="AX8" s="282" t="e">
        <f ca="1">IF(AX36="",NA(),SUM($D36:AX36))</f>
        <v>#N/A</v>
      </c>
      <c r="AY8" s="475">
        <f ca="1">IF(AY36="",NA(),SUM($D36:AY36))</f>
        <v>-237.80000000000041</v>
      </c>
      <c r="AZ8" s="282">
        <f ca="1">IF(AZ36="",NA(),SUM($D36:AZ36))</f>
        <v>-236.10000000000082</v>
      </c>
      <c r="BA8" s="283" t="e">
        <f ca="1">IF(BA36="",NA(),SUM($D36:BA36))</f>
        <v>#N/A</v>
      </c>
      <c r="BB8" s="642" t="e">
        <f ca="1">IF(BB36="",NA(),SUM($D36:BB36))</f>
        <v>#N/A</v>
      </c>
    </row>
    <row r="9" spans="1:54">
      <c r="A9" s="300" t="s">
        <v>1197</v>
      </c>
      <c r="B9" s="301" t="s">
        <v>1199</v>
      </c>
      <c r="C9" s="298" t="str">
        <f ca="1">INDIRECT(ADDRESS(MATCH(A9,【全期間】成果表実測値!$B:$B,0),5,4,TRUE,"【閲覧用】成果表"))</f>
        <v>光陽小学校</v>
      </c>
      <c r="D9" s="295">
        <f>IF(D37="",NA(),D37)</f>
        <v>0</v>
      </c>
      <c r="E9" s="281">
        <f ca="1">IF(E37="",NA(),SUM($D37:E37))</f>
        <v>-21.7</v>
      </c>
      <c r="F9" s="282">
        <f ca="1">IF(F37="",NA(),SUM($D37:F37))</f>
        <v>-50</v>
      </c>
      <c r="G9" s="282">
        <f ca="1">IF(G37="",NA(),SUM($D37:G37))</f>
        <v>-61.7</v>
      </c>
      <c r="H9" s="282">
        <f ca="1">IF(H37="",NA(),SUM($D37:H37))</f>
        <v>-68.2</v>
      </c>
      <c r="I9" s="282">
        <f ca="1">IF(I37="",NA(),SUM($D37:I37))</f>
        <v>-81</v>
      </c>
      <c r="J9" s="283">
        <f ca="1">IF(J37="",NA(),SUM($D37:J37))</f>
        <v>-90.7</v>
      </c>
      <c r="K9" s="281">
        <f ca="1">IF(K37="",NA(),SUM($D37:K37))</f>
        <v>-98.4</v>
      </c>
      <c r="L9" s="282">
        <f ca="1">IF(L37="",NA(),SUM($D37:L37))</f>
        <v>-92.800000000000011</v>
      </c>
      <c r="M9" s="282">
        <f ca="1">IF(M37="",NA(),SUM($D37:M37))</f>
        <v>-99.200000000000017</v>
      </c>
      <c r="N9" s="282">
        <f ca="1">IF(N37="",NA(),SUM($D37:N37))</f>
        <v>-106.90000000000002</v>
      </c>
      <c r="O9" s="283">
        <f ca="1">IF(O37="",NA(),SUM($D37:O37))</f>
        <v>-123.60000000000002</v>
      </c>
      <c r="P9" s="281">
        <f ca="1">IF(P37="",NA(),SUM($D37:P37))</f>
        <v>-129.80000000000001</v>
      </c>
      <c r="Q9" s="282">
        <f ca="1">IF(Q37="",NA(),SUM($D37:Q37))</f>
        <v>-134.4</v>
      </c>
      <c r="R9" s="282">
        <f ca="1">IF(R37="",NA(),SUM($D37:R37))</f>
        <v>-135.5</v>
      </c>
      <c r="S9" s="283">
        <f ca="1">IF(S37="",NA(),SUM($D37:S37))</f>
        <v>-141.80000000000001</v>
      </c>
      <c r="T9" s="281">
        <f ca="1">IF(T37="",NA(),SUM($D37:T37))</f>
        <v>-156.80000000000001</v>
      </c>
      <c r="U9" s="282">
        <f ca="1">IF(U37="",NA(),SUM($D37:U37))</f>
        <v>-157.4</v>
      </c>
      <c r="V9" s="282">
        <f ca="1">IF(V37="",NA(),SUM($D37:V37))</f>
        <v>-168.6</v>
      </c>
      <c r="W9" s="283">
        <f ca="1">IF(W37="",NA(),SUM($D37:W37))</f>
        <v>-168.79999999999998</v>
      </c>
      <c r="X9" s="281">
        <f ca="1">IF(X37="",NA(),SUM($D37:X37))</f>
        <v>-169.7</v>
      </c>
      <c r="Y9" s="282">
        <f ca="1">IF(Y37="",NA(),SUM($D37:Y37))</f>
        <v>-176.39999999999998</v>
      </c>
      <c r="Z9" s="282">
        <f ca="1">IF(Z37="",NA(),SUM($D37:Z37))</f>
        <v>-181.79999999999998</v>
      </c>
      <c r="AA9" s="282">
        <f ca="1">IF(AA37="",NA(),SUM($D37:AA37))</f>
        <v>-190.79999999999998</v>
      </c>
      <c r="AB9" s="283">
        <f ca="1">IF(AB37="",NA(),SUM($D37:AB37))</f>
        <v>-202.39999999999998</v>
      </c>
      <c r="AC9" s="281">
        <f ca="1">IF(AC37="",NA(),SUM($D37:AC37))</f>
        <v>-197.89999999999998</v>
      </c>
      <c r="AD9" s="282">
        <f ca="1">IF(AD37="",NA(),SUM($D37:AD37))</f>
        <v>-201.99999999999997</v>
      </c>
      <c r="AE9" s="282">
        <f ca="1">IF(AE37="",NA(),SUM($D37:AE37))</f>
        <v>-203.69999999999996</v>
      </c>
      <c r="AF9" s="282">
        <f ca="1">IF(AF37="",NA(),SUM($D37:AF37))</f>
        <v>-208.2999999999999</v>
      </c>
      <c r="AG9" s="283">
        <f ca="1">IF(AG37="",NA(),SUM($D37:AG37))</f>
        <v>-207.09999999999991</v>
      </c>
      <c r="AH9" s="281">
        <f ca="1">IF(AH37="",NA(),SUM($D37:AH37))</f>
        <v>-212.2999999999999</v>
      </c>
      <c r="AI9" s="282">
        <f ca="1">IF(AI37="",NA(),SUM($D37:AI37))</f>
        <v>-220.49999999999989</v>
      </c>
      <c r="AJ9" s="282">
        <f ca="1">IF(AJ37="",NA(),SUM($D37:AJ37))</f>
        <v>-222.7999999999999</v>
      </c>
      <c r="AK9" s="282">
        <f ca="1">IF(AK37="",NA(),SUM($D37:AK37))</f>
        <v>-229.39999999999989</v>
      </c>
      <c r="AL9" s="283">
        <f ca="1">IF(AL37="",NA(),SUM($D37:AL37))</f>
        <v>-230.6999999999999</v>
      </c>
      <c r="AM9" s="281" t="e">
        <f ca="1">IF(AM37="",NA(),SUM($D37:AM37))</f>
        <v>#N/A</v>
      </c>
      <c r="AN9" s="282" t="e">
        <f ca="1">IF(AN37="",NA(),SUM($D37:AN37))</f>
        <v>#N/A</v>
      </c>
      <c r="AO9" s="282" t="e">
        <f ca="1">IF(AO37="",NA(),SUM($D37:AO37))</f>
        <v>#N/A</v>
      </c>
      <c r="AP9" s="282">
        <f ca="1">IF(AP37="",NA(),SUM($D37:AP37))</f>
        <v>-233.39999999999989</v>
      </c>
      <c r="AQ9" s="283" t="e">
        <f ca="1">IF(AQ37="",NA(),SUM($D37:AQ37))</f>
        <v>#N/A</v>
      </c>
      <c r="AR9" s="281" t="e">
        <f ca="1">IF(AR37="",NA(),SUM($D37:AR37))</f>
        <v>#N/A</v>
      </c>
      <c r="AS9" s="282">
        <f ca="1">IF(AS37="",NA(),SUM($D37:AS37))</f>
        <v>-236.59999999999988</v>
      </c>
      <c r="AT9" s="282" t="e">
        <f ca="1">IF(AT37="",NA(),SUM($D37:AT37))</f>
        <v>#N/A</v>
      </c>
      <c r="AU9" s="282">
        <f ca="1">IF(AU37="",NA(),SUM($D37:AU37))</f>
        <v>-234.69999999999987</v>
      </c>
      <c r="AV9" s="544" t="e">
        <f ca="1">IF(AV37="",NA(),SUM($D37:AV37))</f>
        <v>#N/A</v>
      </c>
      <c r="AW9" s="552" t="e">
        <f ca="1">IF(AW37="",NA(),SUM($D37:AW37))</f>
        <v>#N/A</v>
      </c>
      <c r="AX9" s="282">
        <f ca="1">IF(AX37="",NA(),SUM($D37:AX37))</f>
        <v>-237.50000000000045</v>
      </c>
      <c r="AY9" s="475" t="e">
        <f ca="1">IF(AY37="",NA(),SUM($D37:AY37))</f>
        <v>#N/A</v>
      </c>
      <c r="AZ9" s="282">
        <f ca="1">IF(AZ37="",NA(),SUM($D37:AZ37))</f>
        <v>-240.50000000000057</v>
      </c>
      <c r="BA9" s="283">
        <f ca="1">IF(BA37="",NA(),SUM($D37:BA37))</f>
        <v>-242.10000000000039</v>
      </c>
      <c r="BB9" s="642" t="e">
        <f ca="1">IF(BB37="",NA(),SUM($D37:BB37))</f>
        <v>#N/A</v>
      </c>
    </row>
    <row r="10" spans="1:54">
      <c r="A10" s="277" t="s">
        <v>1142</v>
      </c>
      <c r="B10" s="262"/>
      <c r="C10" s="297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 t="s">
        <v>247</v>
      </c>
      <c r="AJ10" s="284"/>
      <c r="AK10" s="284"/>
      <c r="AL10" s="284"/>
      <c r="AM10" s="284"/>
      <c r="AN10" s="571"/>
      <c r="AO10" s="573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644"/>
      <c r="BB10" s="285"/>
    </row>
    <row r="11" spans="1:54">
      <c r="A11" s="300" t="s">
        <v>1200</v>
      </c>
      <c r="B11" s="301" t="s">
        <v>1203</v>
      </c>
      <c r="C11" s="298" t="str">
        <f ca="1">INDIRECT(ADDRESS(MATCH(A11,【全期間】成果表実測値!$B:$B,0),5,4,TRUE,"【閲覧用】成果表"))</f>
        <v>厚別水再生プラザ</v>
      </c>
      <c r="D11" s="295" t="e">
        <f>IF(D39="",NA(),D39)</f>
        <v>#N/A</v>
      </c>
      <c r="E11" s="281" t="e">
        <f>IF(E39="",NA(),SUM($D39:E39))</f>
        <v>#N/A</v>
      </c>
      <c r="F11" s="282">
        <f>IF(F39="",NA(),SUM($D39:F39))</f>
        <v>0</v>
      </c>
      <c r="G11" s="282" t="e">
        <f ca="1">IF(G39="",NA(),SUM($D39:G39))</f>
        <v>#N/A</v>
      </c>
      <c r="H11" s="282">
        <f ca="1">IF(H39="",NA(),SUM($D39:H39))</f>
        <v>-67.400000000000006</v>
      </c>
      <c r="I11" s="282">
        <f ca="1">IF(I39="",NA(),SUM($D39:I39))</f>
        <v>-129.69999999999999</v>
      </c>
      <c r="J11" s="283">
        <f ca="1">IF(J39="",NA(),SUM($D39:J39))</f>
        <v>-168.5</v>
      </c>
      <c r="K11" s="281">
        <f ca="1">IF(K39="",NA(),SUM($D39:K39))</f>
        <v>-192.8</v>
      </c>
      <c r="L11" s="282">
        <f ca="1">IF(L39="",NA(),SUM($D39:L39))</f>
        <v>-199.10000000000002</v>
      </c>
      <c r="M11" s="282">
        <f ca="1">IF(M39="",NA(),SUM($D39:M39))</f>
        <v>-227.20000000000002</v>
      </c>
      <c r="N11" s="282" t="e">
        <f ca="1">IF(N39="",NA(),SUM($D39:N39))</f>
        <v>#N/A</v>
      </c>
      <c r="O11" s="283">
        <f ca="1">IF(O39="",NA(),SUM($D39:O39))</f>
        <v>-292.3</v>
      </c>
      <c r="P11" s="281" t="e">
        <f ca="1">IF(P39="",NA(),SUM($D39:P39))</f>
        <v>#N/A</v>
      </c>
      <c r="Q11" s="282" t="e">
        <f ca="1">IF(Q39="",NA(),SUM($D39:Q39))</f>
        <v>#N/A</v>
      </c>
      <c r="R11" s="282" t="e">
        <f ca="1">IF(R39="",NA(),SUM($D39:R39))</f>
        <v>#N/A</v>
      </c>
      <c r="S11" s="283" t="e">
        <f ca="1">IF(S39="",NA(),SUM($D39:S39))</f>
        <v>#N/A</v>
      </c>
      <c r="T11" s="281" t="e">
        <f ca="1">IF(T39="",NA(),SUM($D39:T39))</f>
        <v>#N/A</v>
      </c>
      <c r="U11" s="282" t="e">
        <f ca="1">IF(U39="",NA(),SUM($D39:U39))</f>
        <v>#N/A</v>
      </c>
      <c r="V11" s="282" t="e">
        <f ca="1">IF(V39="",NA(),SUM($D39:V39))</f>
        <v>#N/A</v>
      </c>
      <c r="W11" s="283" t="e">
        <f ca="1">IF(W39="",NA(),SUM($D39:W39))</f>
        <v>#N/A</v>
      </c>
      <c r="X11" s="281" t="e">
        <f ca="1">IF(X39="",NA(),SUM($D39:X39))</f>
        <v>#N/A</v>
      </c>
      <c r="Y11" s="282" t="e">
        <f ca="1">IF(Y39="",NA(),SUM($D39:Y39))</f>
        <v>#N/A</v>
      </c>
      <c r="Z11" s="282" t="e">
        <f ca="1">IF(Z39="",NA(),SUM($D39:Z39))</f>
        <v>#N/A</v>
      </c>
      <c r="AA11" s="282">
        <f ca="1">IF(AA39="",NA(),SUM($D39:AA39))</f>
        <v>-546.4</v>
      </c>
      <c r="AB11" s="283" t="e">
        <f ca="1">IF(AB39="",NA(),SUM($D39:AB39))</f>
        <v>#N/A</v>
      </c>
      <c r="AC11" s="281" t="e">
        <f ca="1">IF(AC39="",NA(),SUM($D39:AC39))</f>
        <v>#N/A</v>
      </c>
      <c r="AD11" s="282">
        <f ca="1">IF(AD39="",NA(),SUM($D39:AD39))</f>
        <v>-572.79999999999995</v>
      </c>
      <c r="AE11" s="282" t="e">
        <f ca="1">IF(AE39="",NA(),SUM($D39:AE39))</f>
        <v>#N/A</v>
      </c>
      <c r="AF11" s="282" t="e">
        <f ca="1">IF(AF39="",NA(),SUM($D39:AF39))</f>
        <v>#N/A</v>
      </c>
      <c r="AG11" s="283">
        <f ca="1">IF(AG39="",NA(),SUM($D39:AG39))</f>
        <v>-590.69999999999993</v>
      </c>
      <c r="AH11" s="281" t="e">
        <f ca="1">IF(AH39="",NA(),SUM($D39:AH39))</f>
        <v>#N/A</v>
      </c>
      <c r="AI11" s="282" t="e">
        <f ca="1">IF(AI39="",NA(),SUM($D39:AI39))</f>
        <v>#N/A</v>
      </c>
      <c r="AJ11" s="282" t="e">
        <f ca="1">IF(AJ39="",NA(),SUM($D39:AJ39))</f>
        <v>#N/A</v>
      </c>
      <c r="AK11" s="282" t="e">
        <f ca="1">IF(AK39="",NA(),SUM($D39:AK39))</f>
        <v>#N/A</v>
      </c>
      <c r="AL11" s="283" t="e">
        <f ca="1">IF(AL39="",NA(),SUM($D39:AL39))</f>
        <v>#N/A</v>
      </c>
      <c r="AM11" s="281">
        <f ca="1">IF(AM39="",NA(),SUM($D39:AM39))</f>
        <v>-648.79999999999995</v>
      </c>
      <c r="AN11" s="282">
        <f ca="1">IF(AN39="",NA(),SUM($D39:AN39))</f>
        <v>-647.59999999999991</v>
      </c>
      <c r="AO11" s="282" t="e">
        <f ca="1">IF(AO39="",NA(),SUM($D39:AO39))</f>
        <v>#N/A</v>
      </c>
      <c r="AP11" s="282" t="e">
        <f ca="1">IF(AP39="",NA(),SUM($D39:AP39))</f>
        <v>#N/A</v>
      </c>
      <c r="AQ11" s="283" t="e">
        <f ca="1">IF(AQ39="",NA(),SUM($D39:AQ39))</f>
        <v>#N/A</v>
      </c>
      <c r="AR11" s="281">
        <f ca="1">IF(AR39="",NA(),SUM($D39:AR39))</f>
        <v>-660.39999999999986</v>
      </c>
      <c r="AS11" s="282" t="e">
        <f ca="1">IF(AS39="",NA(),SUM($D39:AS39))</f>
        <v>#N/A</v>
      </c>
      <c r="AT11" s="282">
        <f ca="1">IF(AT39="",NA(),SUM($D39:AT39))</f>
        <v>-666.39999999999986</v>
      </c>
      <c r="AU11" s="282" t="e">
        <f ca="1">IF(AU39="",NA(),SUM($D39:AU39))</f>
        <v>#N/A</v>
      </c>
      <c r="AV11" s="544" t="e">
        <f ca="1">IF(AV39="",NA(),SUM($D39:AV39))</f>
        <v>#N/A</v>
      </c>
      <c r="AW11" s="552">
        <f ca="1">IF(AW39="",NA(),SUM($D39:AW39))</f>
        <v>-675.30000000000041</v>
      </c>
      <c r="AX11" s="282" t="e">
        <f ca="1">IF(AX39="",NA(),SUM($D39:AX39))</f>
        <v>#N/A</v>
      </c>
      <c r="AY11" s="475">
        <f ca="1">IF(AY39="",NA(),SUM($D39:AY39))</f>
        <v>-691.1</v>
      </c>
      <c r="AZ11" s="282" t="e">
        <f ca="1">IF(AZ39="",NA(),SUM($D39:AZ39))</f>
        <v>#N/A</v>
      </c>
      <c r="BA11" s="283">
        <f ca="1">IF(BA39="",NA(),SUM($D39:BA39))</f>
        <v>-694.69999999999959</v>
      </c>
      <c r="BB11" s="642" t="e">
        <f ca="1">IF(BB39="",NA(),SUM($D39:BB39))</f>
        <v>#N/A</v>
      </c>
    </row>
    <row r="12" spans="1:54">
      <c r="A12" s="300" t="s">
        <v>406</v>
      </c>
      <c r="B12" s="301" t="s">
        <v>1143</v>
      </c>
      <c r="C12" s="298" t="str">
        <f ca="1">INDIRECT(ADDRESS(MATCH(A12,【全期間】成果表実測値!$B:$B,0),5,4,TRUE,"【閲覧用】成果表"))</f>
        <v>札苗小学校</v>
      </c>
      <c r="D12" s="295" t="e">
        <f>IF(D40="",NA(),D40)</f>
        <v>#N/A</v>
      </c>
      <c r="E12" s="281" t="e">
        <f>IF(E40="",NA(),SUM($D40:E40))</f>
        <v>#N/A</v>
      </c>
      <c r="F12" s="282">
        <f>IF(F40="",NA(),SUM($D40:F40))</f>
        <v>0</v>
      </c>
      <c r="G12" s="282">
        <f ca="1">IF(G40="",NA(),SUM($D40:G40))</f>
        <v>-16.5</v>
      </c>
      <c r="H12" s="282">
        <f ca="1">IF(H40="",NA(),SUM($D40:H40))</f>
        <v>-17.899999999999999</v>
      </c>
      <c r="I12" s="282">
        <f ca="1">IF(I40="",NA(),SUM($D40:I40))</f>
        <v>-71.699999999999989</v>
      </c>
      <c r="J12" s="283">
        <f ca="1">IF(J40="",NA(),SUM($D40:J40))</f>
        <v>-147.1</v>
      </c>
      <c r="K12" s="281">
        <f ca="1">IF(K40="",NA(),SUM($D40:K40))</f>
        <v>-165.79999999999998</v>
      </c>
      <c r="L12" s="282">
        <f ca="1">IF(L40="",NA(),SUM($D40:L40))</f>
        <v>-178.1</v>
      </c>
      <c r="M12" s="282">
        <f ca="1">IF(M40="",NA(),SUM($D40:M40))</f>
        <v>-221.6</v>
      </c>
      <c r="N12" s="282">
        <f ca="1">IF(N40="",NA(),SUM($D40:N40))</f>
        <v>-273.2</v>
      </c>
      <c r="O12" s="283">
        <f ca="1">IF(O40="",NA(),SUM($D40:O40))</f>
        <v>-340.7</v>
      </c>
      <c r="P12" s="281" t="e">
        <f ca="1">IF(P40="",NA(),SUM($D40:P40))</f>
        <v>#N/A</v>
      </c>
      <c r="Q12" s="282" t="e">
        <f ca="1">IF(Q40="",NA(),SUM($D40:Q40))</f>
        <v>#N/A</v>
      </c>
      <c r="R12" s="282" t="e">
        <f ca="1">IF(R40="",NA(),SUM($D40:R40))</f>
        <v>#N/A</v>
      </c>
      <c r="S12" s="283" t="e">
        <f ca="1">IF(S40="",NA(),SUM($D40:S40))</f>
        <v>#N/A</v>
      </c>
      <c r="T12" s="281" t="e">
        <f ca="1">IF(T40="",NA(),SUM($D40:T40))</f>
        <v>#N/A</v>
      </c>
      <c r="U12" s="282">
        <f ca="1">IF(U40="",NA(),SUM($D40:U40))</f>
        <v>-387.8</v>
      </c>
      <c r="V12" s="282" t="e">
        <f ca="1">IF(V40="",NA(),SUM($D40:V40))</f>
        <v>#N/A</v>
      </c>
      <c r="W12" s="283" t="e">
        <f ca="1">IF(W40="",NA(),SUM($D40:W40))</f>
        <v>#N/A</v>
      </c>
      <c r="X12" s="281">
        <f ca="1">IF(X40="",NA(),SUM($D40:X40))</f>
        <v>-407.3</v>
      </c>
      <c r="Y12" s="282" t="e">
        <f ca="1">IF(Y40="",NA(),SUM($D40:Y40))</f>
        <v>#N/A</v>
      </c>
      <c r="Z12" s="282" t="e">
        <f ca="1">IF(Z40="",NA(),SUM($D40:Z40))</f>
        <v>#N/A</v>
      </c>
      <c r="AA12" s="282">
        <f ca="1">IF(AA40="",NA(),SUM($D40:AA40))</f>
        <v>-431.5</v>
      </c>
      <c r="AB12" s="283" t="e">
        <f ca="1">IF(AB40="",NA(),SUM($D40:AB40))</f>
        <v>#N/A</v>
      </c>
      <c r="AC12" s="281" t="e">
        <f ca="1">IF(AC40="",NA(),SUM($D40:AC40))</f>
        <v>#N/A</v>
      </c>
      <c r="AD12" s="282" t="e">
        <f ca="1">IF(AD40="",NA(),SUM($D40:AD40))</f>
        <v>#N/A</v>
      </c>
      <c r="AE12" s="282" t="e">
        <f ca="1">IF(AE40="",NA(),SUM($D40:AE40))</f>
        <v>#N/A</v>
      </c>
      <c r="AF12" s="282" t="e">
        <f ca="1">IF(AF40="",NA(),SUM($D40:AF40))</f>
        <v>#N/A</v>
      </c>
      <c r="AG12" s="283">
        <f ca="1">IF(AG40="",NA(),SUM($D40:AG40))</f>
        <v>-465</v>
      </c>
      <c r="AH12" s="281" t="e">
        <f ca="1">IF(AH40="",NA(),SUM($D40:AH40))</f>
        <v>#N/A</v>
      </c>
      <c r="AI12" s="282" t="e">
        <f ca="1">IF(AI40="",NA(),SUM($D40:AI40))</f>
        <v>#N/A</v>
      </c>
      <c r="AJ12" s="282" t="e">
        <f ca="1">IF(AJ40="",NA(),SUM($D40:AJ40))</f>
        <v>#N/A</v>
      </c>
      <c r="AK12" s="282" t="e">
        <f ca="1">IF(AK40="",NA(),SUM($D40:AK40))</f>
        <v>#N/A</v>
      </c>
      <c r="AL12" s="283">
        <f ca="1">IF(AL40="",NA(),SUM($D40:AL40))</f>
        <v>-512.5</v>
      </c>
      <c r="AM12" s="281">
        <f ca="1">IF(AM40="",NA(),SUM($D40:AM40))</f>
        <v>-525.79999999999995</v>
      </c>
      <c r="AN12" s="282" t="e">
        <f ca="1">IF(AN40="",NA(),SUM($D40:AN40))</f>
        <v>#N/A</v>
      </c>
      <c r="AO12" s="282">
        <f ca="1">IF(AO40="",NA(),SUM($D40:AO40))</f>
        <v>-566.4</v>
      </c>
      <c r="AP12" s="282">
        <f ca="1">IF(AP40="",NA(),SUM($D40:AP40))</f>
        <v>-582.6</v>
      </c>
      <c r="AQ12" s="283" t="e">
        <f ca="1">IF(AQ40="",NA(),SUM($D40:AQ40))</f>
        <v>#N/A</v>
      </c>
      <c r="AR12" s="281" t="e">
        <f ca="1">IF(AR40="",NA(),SUM($D40:AR40))</f>
        <v>#N/A</v>
      </c>
      <c r="AS12" s="282">
        <f ca="1">IF(AS40="",NA(),SUM($D40:AS40))</f>
        <v>-598.20000000000005</v>
      </c>
      <c r="AT12" s="282" t="e">
        <f ca="1">IF(AT40="",NA(),SUM($D40:AT40))</f>
        <v>#N/A</v>
      </c>
      <c r="AU12" s="282" t="e">
        <f ca="1">IF(AU40="",NA(),SUM($D40:AU40))</f>
        <v>#N/A</v>
      </c>
      <c r="AV12" s="544" t="e">
        <f ca="1">IF(AV40="",NA(),SUM($D40:AV40))</f>
        <v>#N/A</v>
      </c>
      <c r="AW12" s="552" t="e">
        <f ca="1">IF(AW40="",NA(),SUM($D40:AW40))</f>
        <v>#N/A</v>
      </c>
      <c r="AX12" s="282">
        <f ca="1">IF(AX40="",NA(),SUM($D40:AX40))</f>
        <v>-633.50000000000034</v>
      </c>
      <c r="AY12" s="475" t="e">
        <f ca="1">IF(AY40="",NA(),SUM($D40:AY40))</f>
        <v>#N/A</v>
      </c>
      <c r="AZ12" s="282" t="e">
        <f ca="1">IF(AZ40="",NA(),SUM($D40:AZ40))</f>
        <v>#N/A</v>
      </c>
      <c r="BA12" s="283">
        <f ca="1">IF(BA40="",NA(),SUM($D40:BA40))</f>
        <v>-649.00000000000068</v>
      </c>
      <c r="BB12" s="642" t="e">
        <f ca="1">IF(BB40="",NA(),SUM($D40:BB40))</f>
        <v>#N/A</v>
      </c>
    </row>
    <row r="13" spans="1:54">
      <c r="A13" s="300" t="s">
        <v>1137</v>
      </c>
      <c r="B13" s="301" t="s">
        <v>1164</v>
      </c>
      <c r="C13" s="298" t="str">
        <f ca="1">INDIRECT(ADDRESS(MATCH(A13,【全期間】成果表実測値!$B:$B,0),5,4,TRUE,"【閲覧用】成果表"))</f>
        <v>動物管理センター福移支所</v>
      </c>
      <c r="D13" s="295" t="e">
        <f>IF(D41="",NA(),D41)</f>
        <v>#N/A</v>
      </c>
      <c r="E13" s="281" t="e">
        <f>IF(E41="",NA(),SUM($D41:E41))</f>
        <v>#N/A</v>
      </c>
      <c r="F13" s="282" t="e">
        <f>IF(F41="",NA(),SUM($D41:F41))</f>
        <v>#N/A</v>
      </c>
      <c r="G13" s="282" t="e">
        <f>IF(G41="",NA(),SUM($D41:G41))</f>
        <v>#N/A</v>
      </c>
      <c r="H13" s="282" t="e">
        <f>IF(H41="",NA(),SUM($D41:H41))</f>
        <v>#N/A</v>
      </c>
      <c r="I13" s="282" t="e">
        <f>IF(I41="",NA(),SUM($D41:I41))</f>
        <v>#N/A</v>
      </c>
      <c r="J13" s="283">
        <f>IF(J41="",NA(),SUM($D41:J41))</f>
        <v>0</v>
      </c>
      <c r="K13" s="281">
        <f ca="1">IF(K41="",NA(),SUM($D41:K41))</f>
        <v>-14.3</v>
      </c>
      <c r="L13" s="282">
        <f ca="1">IF(L41="",NA(),SUM($D41:L41))</f>
        <v>-21.700000000000003</v>
      </c>
      <c r="M13" s="282" t="e">
        <f ca="1">IF(M41="",NA(),SUM($D41:M41))</f>
        <v>#N/A</v>
      </c>
      <c r="N13" s="282" t="e">
        <f ca="1">IF(N41="",NA(),SUM($D41:N41))</f>
        <v>#N/A</v>
      </c>
      <c r="O13" s="283" t="e">
        <f ca="1">IF(O41="",NA(),SUM($D41:O41))</f>
        <v>#N/A</v>
      </c>
      <c r="P13" s="281" t="e">
        <f ca="1">IF(P41="",NA(),SUM($D41:P41))</f>
        <v>#N/A</v>
      </c>
      <c r="Q13" s="282" t="e">
        <f ca="1">IF(Q41="",NA(),SUM($D41:Q41))</f>
        <v>#N/A</v>
      </c>
      <c r="R13" s="282" t="e">
        <f ca="1">IF(R41="",NA(),SUM($D41:R41))</f>
        <v>#N/A</v>
      </c>
      <c r="S13" s="283" t="e">
        <f ca="1">IF(S41="",NA(),SUM($D41:S41))</f>
        <v>#N/A</v>
      </c>
      <c r="T13" s="281" t="e">
        <f ca="1">IF(T41="",NA(),SUM($D41:T41))</f>
        <v>#N/A</v>
      </c>
      <c r="U13" s="282" t="e">
        <f ca="1">IF(U41="",NA(),SUM($D41:U41))</f>
        <v>#N/A</v>
      </c>
      <c r="V13" s="282" t="e">
        <f ca="1">IF(V41="",NA(),SUM($D41:V41))</f>
        <v>#N/A</v>
      </c>
      <c r="W13" s="283" t="e">
        <f ca="1">IF(W41="",NA(),SUM($D41:W41))</f>
        <v>#N/A</v>
      </c>
      <c r="X13" s="281" t="e">
        <f ca="1">IF(X41="",NA(),SUM($D41:X41))</f>
        <v>#N/A</v>
      </c>
      <c r="Y13" s="282" t="e">
        <f ca="1">IF(Y41="",NA(),SUM($D41:Y41))</f>
        <v>#N/A</v>
      </c>
      <c r="Z13" s="282" t="e">
        <f ca="1">IF(Z41="",NA(),SUM($D41:Z41))</f>
        <v>#N/A</v>
      </c>
      <c r="AA13" s="282">
        <f ca="1">IF(AA41="",NA(),SUM($D41:AA41))</f>
        <v>-271.89999999999998</v>
      </c>
      <c r="AB13" s="283" t="e">
        <f ca="1">IF(AB41="",NA(),SUM($D41:AB41))</f>
        <v>#N/A</v>
      </c>
      <c r="AC13" s="281" t="e">
        <f ca="1">IF(AC41="",NA(),SUM($D41:AC41))</f>
        <v>#N/A</v>
      </c>
      <c r="AD13" s="282" t="e">
        <f ca="1">IF(AD41="",NA(),SUM($D41:AD41))</f>
        <v>#N/A</v>
      </c>
      <c r="AE13" s="282" t="e">
        <f ca="1">IF(AE41="",NA(),SUM($D41:AE41))</f>
        <v>#N/A</v>
      </c>
      <c r="AF13" s="282" t="e">
        <f ca="1">IF(AF41="",NA(),SUM($D41:AF41))</f>
        <v>#N/A</v>
      </c>
      <c r="AG13" s="283" t="e">
        <f ca="1">IF(AG41="",NA(),SUM($D41:AG41))</f>
        <v>#N/A</v>
      </c>
      <c r="AH13" s="281">
        <f ca="1">IF(AH41="",NA(),SUM($D41:AH41))</f>
        <v>-354.09999999999997</v>
      </c>
      <c r="AI13" s="282" t="e">
        <f ca="1">IF(AI41="",NA(),SUM($D41:AI41))</f>
        <v>#N/A</v>
      </c>
      <c r="AJ13" s="282" t="e">
        <f ca="1">IF(AJ41="",NA(),SUM($D41:AJ41))</f>
        <v>#N/A</v>
      </c>
      <c r="AK13" s="282" t="e">
        <f ca="1">IF(AK41="",NA(),SUM($D41:AK41))</f>
        <v>#N/A</v>
      </c>
      <c r="AL13" s="283">
        <f ca="1">IF(AL41="",NA(),SUM($D41:AL41))</f>
        <v>-473</v>
      </c>
      <c r="AM13" s="281">
        <f ca="1">IF(AM41="",NA(),SUM($D41:AM41))</f>
        <v>-517</v>
      </c>
      <c r="AN13" s="282">
        <f ca="1">IF(AN41="",NA(),SUM($D41:AN41))</f>
        <v>-536.20000000000005</v>
      </c>
      <c r="AO13" s="282">
        <f ca="1">IF(AO41="",NA(),SUM($D41:AO41))</f>
        <v>-542.80000000000007</v>
      </c>
      <c r="AP13" s="282" t="e">
        <f ca="1">IF(AP41="",NA(),SUM($D41:AP41))</f>
        <v>#N/A</v>
      </c>
      <c r="AQ13" s="283">
        <f ca="1">IF(AQ41="",NA(),SUM($D41:AQ41))</f>
        <v>-557.50000000000011</v>
      </c>
      <c r="AR13" s="281" t="e">
        <f ca="1">IF(AR41="",NA(),SUM($D41:AR41))</f>
        <v>#N/A</v>
      </c>
      <c r="AS13" s="282">
        <f ca="1">IF(AS41="",NA(),SUM($D41:AS41))</f>
        <v>-572.90000000000009</v>
      </c>
      <c r="AT13" s="282" t="e">
        <f ca="1">IF(AT41="",NA(),SUM($D41:AT41))</f>
        <v>#N/A</v>
      </c>
      <c r="AU13" s="282" t="e">
        <f ca="1">IF(AU41="",NA(),SUM($D41:AU41))</f>
        <v>#N/A</v>
      </c>
      <c r="AV13" s="544">
        <f ca="1">IF(AV41="",NA(),SUM($D41:AV41))</f>
        <v>-582.00000000000011</v>
      </c>
      <c r="AW13" s="552" t="e">
        <f ca="1">IF(AW41="",NA(),SUM($D41:AW41))</f>
        <v>#N/A</v>
      </c>
      <c r="AX13" s="282">
        <f ca="1">IF(AX41="",NA(),SUM($D41:AX41))</f>
        <v>-591.29999999999973</v>
      </c>
      <c r="AY13" s="475" t="e">
        <f ca="1">IF(AY41="",NA(),SUM($D41:AY41))</f>
        <v>#N/A</v>
      </c>
      <c r="AZ13" s="282" t="e">
        <f ca="1">IF(AZ41="",NA(),SUM($D41:AZ41))</f>
        <v>#N/A</v>
      </c>
      <c r="BA13" s="283" t="e">
        <f ca="1">IF(BA41="",NA(),SUM($D41:BA41))</f>
        <v>#N/A</v>
      </c>
      <c r="BB13" s="642" t="e">
        <f ca="1">IF(BB41="",NA(),SUM($D41:BB41))</f>
        <v>#N/A</v>
      </c>
    </row>
    <row r="14" spans="1:54">
      <c r="A14" s="300" t="s">
        <v>480</v>
      </c>
      <c r="B14" s="301" t="s">
        <v>1152</v>
      </c>
      <c r="C14" s="298" t="str">
        <f ca="1">INDIRECT(ADDRESS(MATCH(A14,【全期間】成果表実測値!$B:$B,0),5,4,TRUE,"【閲覧用】成果表"))</f>
        <v>北都小学校</v>
      </c>
      <c r="D14" s="295" t="e">
        <f>IF(D42="",NA(),D42)</f>
        <v>#N/A</v>
      </c>
      <c r="E14" s="281" t="e">
        <f>IF(E42="",NA(),SUM($D42:E42))</f>
        <v>#N/A</v>
      </c>
      <c r="F14" s="282" t="e">
        <f>IF(F42="",NA(),SUM($D42:F42))</f>
        <v>#N/A</v>
      </c>
      <c r="G14" s="282">
        <f>IF(G42="",NA(),SUM($D42:G42))</f>
        <v>0</v>
      </c>
      <c r="H14" s="282">
        <f ca="1">IF(H42="",NA(),SUM($D42:H42))</f>
        <v>-79.599999999999994</v>
      </c>
      <c r="I14" s="282">
        <f ca="1">IF(I42="",NA(),SUM($D42:I42))</f>
        <v>-110.5</v>
      </c>
      <c r="J14" s="283">
        <f ca="1">IF(J42="",NA(),SUM($D42:J42))</f>
        <v>-149.1</v>
      </c>
      <c r="K14" s="281">
        <f ca="1">IF(K42="",NA(),SUM($D42:K42))</f>
        <v>-192.89999999999998</v>
      </c>
      <c r="L14" s="282">
        <f ca="1">IF(L42="",NA(),SUM($D42:L42))</f>
        <v>-194.99999999999997</v>
      </c>
      <c r="M14" s="282">
        <f ca="1">IF(M42="",NA(),SUM($D42:M42))</f>
        <v>-232.2</v>
      </c>
      <c r="N14" s="282">
        <f ca="1">IF(N42="",NA(),SUM($D42:N42))</f>
        <v>-253.2</v>
      </c>
      <c r="O14" s="283">
        <f ca="1">IF(O42="",NA(),SUM($D42:O42))</f>
        <v>-316.7</v>
      </c>
      <c r="P14" s="281" t="e">
        <f ca="1">IF(P42="",NA(),SUM($D42:P42))</f>
        <v>#N/A</v>
      </c>
      <c r="Q14" s="282" t="e">
        <f ca="1">IF(Q42="",NA(),SUM($D42:Q42))</f>
        <v>#N/A</v>
      </c>
      <c r="R14" s="282">
        <f ca="1">IF(R42="",NA(),SUM($D42:R42))</f>
        <v>-347.2</v>
      </c>
      <c r="S14" s="283" t="e">
        <f ca="1">IF(S42="",NA(),SUM($D42:S42))</f>
        <v>#N/A</v>
      </c>
      <c r="T14" s="281" t="e">
        <f ca="1">IF(T42="",NA(),SUM($D42:T42))</f>
        <v>#N/A</v>
      </c>
      <c r="U14" s="282">
        <f ca="1">IF(U42="",NA(),SUM($D42:U42))</f>
        <v>-391.09999999999997</v>
      </c>
      <c r="V14" s="282" t="e">
        <f ca="1">IF(V42="",NA(),SUM($D42:V42))</f>
        <v>#N/A</v>
      </c>
      <c r="W14" s="283" t="e">
        <f ca="1">IF(W42="",NA(),SUM($D42:W42))</f>
        <v>#N/A</v>
      </c>
      <c r="X14" s="281">
        <f ca="1">IF(X42="",NA(),SUM($D42:X42))</f>
        <v>-403.4</v>
      </c>
      <c r="Y14" s="282" t="e">
        <f ca="1">IF(Y42="",NA(),SUM($D42:Y42))</f>
        <v>#N/A</v>
      </c>
      <c r="Z14" s="282" t="e">
        <f ca="1">IF(Z42="",NA(),SUM($D42:Z42))</f>
        <v>#N/A</v>
      </c>
      <c r="AA14" s="282">
        <f ca="1">IF(AA42="",NA(),SUM($D42:AA42))</f>
        <v>-412.59999999999997</v>
      </c>
      <c r="AB14" s="283" t="e">
        <f ca="1">IF(AB42="",NA(),SUM($D42:AB42))</f>
        <v>#N/A</v>
      </c>
      <c r="AC14" s="281" t="e">
        <f ca="1">IF(AC42="",NA(),SUM($D42:AC42))</f>
        <v>#N/A</v>
      </c>
      <c r="AD14" s="282" t="e">
        <f ca="1">IF(AD42="",NA(),SUM($D42:AD42))</f>
        <v>#N/A</v>
      </c>
      <c r="AE14" s="282" t="e">
        <f ca="1">IF(AE42="",NA(),SUM($D42:AE42))</f>
        <v>#N/A</v>
      </c>
      <c r="AF14" s="282" t="e">
        <f ca="1">IF(AF42="",NA(),SUM($D42:AF42))</f>
        <v>#N/A</v>
      </c>
      <c r="AG14" s="283">
        <f ca="1">IF(AG42="",NA(),SUM($D42:AG42))</f>
        <v>-427.59999999999997</v>
      </c>
      <c r="AH14" s="281" t="e">
        <f ca="1">IF(AH42="",NA(),SUM($D42:AH42))</f>
        <v>#N/A</v>
      </c>
      <c r="AI14" s="282" t="e">
        <f ca="1">IF(AI42="",NA(),SUM($D42:AI42))</f>
        <v>#N/A</v>
      </c>
      <c r="AJ14" s="282" t="e">
        <f ca="1">IF(AJ42="",NA(),SUM($D42:AJ42))</f>
        <v>#N/A</v>
      </c>
      <c r="AK14" s="282" t="e">
        <f ca="1">IF(AK42="",NA(),SUM($D42:AK42))</f>
        <v>#N/A</v>
      </c>
      <c r="AL14" s="283" t="e">
        <f ca="1">IF(AL42="",NA(),SUM($D42:AL42))</f>
        <v>#N/A</v>
      </c>
      <c r="AM14" s="281">
        <f ca="1">IF(AM42="",NA(),SUM($D42:AM42))</f>
        <v>-449.09999999999997</v>
      </c>
      <c r="AN14" s="282">
        <f ca="1">IF(AN42="",NA(),SUM($D42:AN42))</f>
        <v>-447.7</v>
      </c>
      <c r="AO14" s="282" t="e">
        <f ca="1">IF(AO42="",NA(),SUM($D42:AO42))</f>
        <v>#N/A</v>
      </c>
      <c r="AP14" s="282" t="e">
        <f ca="1">IF(AP42="",NA(),SUM($D42:AP42))</f>
        <v>#N/A</v>
      </c>
      <c r="AQ14" s="283" t="e">
        <f ca="1">IF(AQ42="",NA(),SUM($D42:AQ42))</f>
        <v>#N/A</v>
      </c>
      <c r="AR14" s="281">
        <f ca="1">IF(AR42="",NA(),SUM($D42:AR42))</f>
        <v>-454.2</v>
      </c>
      <c r="AS14" s="282" t="e">
        <f ca="1">IF(AS42="",NA(),SUM($D42:AS42))</f>
        <v>#N/A</v>
      </c>
      <c r="AT14" s="282" t="e">
        <f ca="1">IF(AT42="",NA(),SUM($D42:AT42))</f>
        <v>#N/A</v>
      </c>
      <c r="AU14" s="282" t="e">
        <f ca="1">IF(AU42="",NA(),SUM($D42:AU42))</f>
        <v>#N/A</v>
      </c>
      <c r="AV14" s="544" t="e">
        <f ca="1">IF(AV42="",NA(),SUM($D42:AV42))</f>
        <v>#N/A</v>
      </c>
      <c r="AW14" s="552">
        <f ca="1">IF(AW42="",NA(),SUM($D42:AW42))</f>
        <v>-456.90000000000077</v>
      </c>
      <c r="AX14" s="282" t="e">
        <f ca="1">IF(AX42="",NA(),SUM($D42:AX42))</f>
        <v>#N/A</v>
      </c>
      <c r="AY14" s="475" t="e">
        <f ca="1">IF(AY42="",NA(),SUM($D42:AY42))</f>
        <v>#N/A</v>
      </c>
      <c r="AZ14" s="282" t="e">
        <f ca="1">IF(AZ42="",NA(),SUM($D42:AZ42))</f>
        <v>#N/A</v>
      </c>
      <c r="BA14" s="283" t="e">
        <f ca="1">IF(BA42="",NA(),SUM($D42:BA42))</f>
        <v>#N/A</v>
      </c>
      <c r="BB14" s="642" t="e">
        <f ca="1">IF(BB42="",NA(),SUM($D42:BB42))</f>
        <v>#N/A</v>
      </c>
    </row>
    <row r="15" spans="1:54">
      <c r="A15" s="300" t="s">
        <v>477</v>
      </c>
      <c r="B15" s="301" t="s">
        <v>1153</v>
      </c>
      <c r="C15" s="298" t="str">
        <f ca="1">INDIRECT(ADDRESS(MATCH(A15,【全期間】成果表実測値!$B:$B,0),5,4,TRUE,"【閲覧用】成果表"))</f>
        <v>白石高校</v>
      </c>
      <c r="D15" s="295" t="e">
        <f>IF(D43="",NA(),D43)</f>
        <v>#N/A</v>
      </c>
      <c r="E15" s="281" t="e">
        <f>IF(E43="",NA(),SUM($D43:E43))</f>
        <v>#N/A</v>
      </c>
      <c r="F15" s="282" t="e">
        <f>IF(F43="",NA(),SUM($D43:F43))</f>
        <v>#N/A</v>
      </c>
      <c r="G15" s="282" t="e">
        <f>IF(G43="",NA(),SUM($D43:G43))</f>
        <v>#N/A</v>
      </c>
      <c r="H15" s="282" t="e">
        <f>IF(H43="",NA(),SUM($D43:H43))</f>
        <v>#N/A</v>
      </c>
      <c r="I15" s="282">
        <f>IF(I43="",NA(),SUM($D43:I43))</f>
        <v>0</v>
      </c>
      <c r="J15" s="283">
        <f ca="1">IF(J43="",NA(),SUM($D43:J43))</f>
        <v>-33.799999999999997</v>
      </c>
      <c r="K15" s="281">
        <f ca="1">IF(K43="",NA(),SUM($D43:K43))</f>
        <v>-65.900000000000006</v>
      </c>
      <c r="L15" s="282">
        <f ca="1">IF(L43="",NA(),SUM($D43:L43))</f>
        <v>-89.800000000000011</v>
      </c>
      <c r="M15" s="282">
        <f ca="1">IF(M43="",NA(),SUM($D43:M43))</f>
        <v>-130.20000000000002</v>
      </c>
      <c r="N15" s="282">
        <f ca="1">IF(N43="",NA(),SUM($D43:N43))</f>
        <v>-146.60000000000002</v>
      </c>
      <c r="O15" s="283">
        <f ca="1">IF(O43="",NA(),SUM($D43:O43))</f>
        <v>-168.00000000000003</v>
      </c>
      <c r="P15" s="281" t="e">
        <f ca="1">IF(P43="",NA(),SUM($D43:P43))</f>
        <v>#N/A</v>
      </c>
      <c r="Q15" s="282" t="e">
        <f ca="1">IF(Q43="",NA(),SUM($D43:Q43))</f>
        <v>#N/A</v>
      </c>
      <c r="R15" s="282" t="e">
        <f ca="1">IF(R43="",NA(),SUM($D43:R43))</f>
        <v>#N/A</v>
      </c>
      <c r="S15" s="283" t="e">
        <f ca="1">IF(S43="",NA(),SUM($D43:S43))</f>
        <v>#N/A</v>
      </c>
      <c r="T15" s="281" t="e">
        <f ca="1">IF(T43="",NA(),SUM($D43:T43))</f>
        <v>#N/A</v>
      </c>
      <c r="U15" s="282">
        <f ca="1">IF(U43="",NA(),SUM($D43:U43))</f>
        <v>-296.40000000000003</v>
      </c>
      <c r="V15" s="282" t="e">
        <f ca="1">IF(V43="",NA(),SUM($D43:V43))</f>
        <v>#N/A</v>
      </c>
      <c r="W15" s="283" t="e">
        <f ca="1">IF(W43="",NA(),SUM($D43:W43))</f>
        <v>#N/A</v>
      </c>
      <c r="X15" s="281" t="e">
        <f ca="1">IF(X43="",NA(),SUM($D43:X43))</f>
        <v>#N/A</v>
      </c>
      <c r="Y15" s="282" t="e">
        <f ca="1">IF(Y43="",NA(),SUM($D43:Y43))</f>
        <v>#N/A</v>
      </c>
      <c r="Z15" s="282" t="e">
        <f ca="1">IF(Z43="",NA(),SUM($D43:Z43))</f>
        <v>#N/A</v>
      </c>
      <c r="AA15" s="282" t="e">
        <f ca="1">IF(AA43="",NA(),SUM($D43:AA43))</f>
        <v>#N/A</v>
      </c>
      <c r="AB15" s="283" t="e">
        <f ca="1">IF(AB43="",NA(),SUM($D43:AB43))</f>
        <v>#N/A</v>
      </c>
      <c r="AC15" s="281" t="e">
        <f ca="1">IF(AC43="",NA(),SUM($D43:AC43))</f>
        <v>#N/A</v>
      </c>
      <c r="AD15" s="282">
        <f ca="1">IF(AD43="",NA(),SUM($D43:AD43))</f>
        <v>-339.40000000000003</v>
      </c>
      <c r="AE15" s="282" t="e">
        <f ca="1">IF(AE43="",NA(),SUM($D43:AE43))</f>
        <v>#N/A</v>
      </c>
      <c r="AF15" s="282" t="e">
        <f ca="1">IF(AF43="",NA(),SUM($D43:AF43))</f>
        <v>#N/A</v>
      </c>
      <c r="AG15" s="283">
        <f ca="1">IF(AG43="",NA(),SUM($D43:AG43))</f>
        <v>-365.70000000000005</v>
      </c>
      <c r="AH15" s="281" t="e">
        <f ca="1">IF(AH43="",NA(),SUM($D43:AH43))</f>
        <v>#N/A</v>
      </c>
      <c r="AI15" s="282" t="e">
        <f ca="1">IF(AI43="",NA(),SUM($D43:AI43))</f>
        <v>#N/A</v>
      </c>
      <c r="AJ15" s="282" t="e">
        <f ca="1">IF(AJ43="",NA(),SUM($D43:AJ43))</f>
        <v>#N/A</v>
      </c>
      <c r="AK15" s="282" t="e">
        <f ca="1">IF(AK43="",NA(),SUM($D43:AK43))</f>
        <v>#N/A</v>
      </c>
      <c r="AL15" s="283" t="e">
        <f ca="1">IF(AL43="",NA(),SUM($D43:AL43))</f>
        <v>#N/A</v>
      </c>
      <c r="AM15" s="281">
        <f ca="1">IF(AM43="",NA(),SUM($D43:AM43))</f>
        <v>-451.20000000000005</v>
      </c>
      <c r="AN15" s="282" t="e">
        <f ca="1">IF(AN43="",NA(),SUM($D43:AN43))</f>
        <v>#N/A</v>
      </c>
      <c r="AO15" s="282" t="e">
        <f ca="1">IF(AO43="",NA(),SUM($D43:AO43))</f>
        <v>#N/A</v>
      </c>
      <c r="AP15" s="282" t="e">
        <f ca="1">IF(AP43="",NA(),SUM($D43:AP43))</f>
        <v>#N/A</v>
      </c>
      <c r="AQ15" s="283" t="e">
        <f ca="1">IF(AQ43="",NA(),SUM($D43:AQ43))</f>
        <v>#N/A</v>
      </c>
      <c r="AR15" s="281">
        <f ca="1">IF(AR43="",NA(),SUM($D43:AR43))</f>
        <v>-477.50000000000006</v>
      </c>
      <c r="AS15" s="282" t="e">
        <f ca="1">IF(AS43="",NA(),SUM($D43:AS43))</f>
        <v>#N/A</v>
      </c>
      <c r="AT15" s="282">
        <f ca="1">IF(AT43="",NA(),SUM($D43:AT43))</f>
        <v>-485.80000000000007</v>
      </c>
      <c r="AU15" s="282" t="e">
        <f ca="1">IF(AU43="",NA(),SUM($D43:AU43))</f>
        <v>#N/A</v>
      </c>
      <c r="AV15" s="544" t="e">
        <f ca="1">IF(AV43="",NA(),SUM($D43:AV43))</f>
        <v>#N/A</v>
      </c>
      <c r="AW15" s="552">
        <f ca="1">IF(AW43="",NA(),SUM($D43:AW43))</f>
        <v>-495.99999999999937</v>
      </c>
      <c r="AX15" s="282" t="e">
        <f ca="1">IF(AX43="",NA(),SUM($D43:AX43))</f>
        <v>#N/A</v>
      </c>
      <c r="AY15" s="475">
        <f ca="1">IF(AY43="",NA(),SUM($D43:AY43))</f>
        <v>-511.19999999999948</v>
      </c>
      <c r="AZ15" s="282" t="e">
        <f ca="1">IF(AZ43="",NA(),SUM($D43:AZ43))</f>
        <v>#N/A</v>
      </c>
      <c r="BA15" s="283" t="e">
        <f ca="1">IF(BA43="",NA(),SUM($D43:BA43))</f>
        <v>#N/A</v>
      </c>
      <c r="BB15" s="642" t="e">
        <f ca="1">IF(BB43="",NA(),SUM($D43:BB43))</f>
        <v>#N/A</v>
      </c>
    </row>
    <row r="16" spans="1:54">
      <c r="A16" s="277" t="s">
        <v>1139</v>
      </c>
      <c r="B16" s="262"/>
      <c r="C16" s="297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572"/>
      <c r="AO16" s="574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645"/>
      <c r="BB16" s="278"/>
    </row>
    <row r="17" spans="1:54">
      <c r="A17" s="300" t="s">
        <v>1136</v>
      </c>
      <c r="B17" s="301" t="s">
        <v>1149</v>
      </c>
      <c r="C17" s="298" t="str">
        <f ca="1">INDIRECT(ADDRESS(MATCH(A17,【全期間】成果表実測値!$B:$B,0),5,4,TRUE,"【閲覧用】成果表"))</f>
        <v>中央中学校</v>
      </c>
      <c r="D17" s="295" t="e">
        <f>IF(D45="",NA(),D45)</f>
        <v>#N/A</v>
      </c>
      <c r="E17" s="281" t="e">
        <f>IF(E45="",NA(),SUM($D45:E45))</f>
        <v>#N/A</v>
      </c>
      <c r="F17" s="282">
        <f>IF(F45="",NA(),SUM($D45:F45))</f>
        <v>0</v>
      </c>
      <c r="G17" s="282">
        <f ca="1">IF(G45="",NA(),SUM($D45:G45))</f>
        <v>4.7</v>
      </c>
      <c r="H17" s="282">
        <f ca="1">IF(H45="",NA(),SUM($D45:H45))</f>
        <v>3.8000000000000003</v>
      </c>
      <c r="I17" s="282">
        <f ca="1">IF(I45="",NA(),SUM($D45:I45))</f>
        <v>-5.7999999999999989</v>
      </c>
      <c r="J17" s="283">
        <f ca="1">IF(J45="",NA(),SUM($D45:J45))</f>
        <v>-9.8999999999999986</v>
      </c>
      <c r="K17" s="281">
        <f ca="1">IF(K45="",NA(),SUM($D45:K45))</f>
        <v>-10.199999999999999</v>
      </c>
      <c r="L17" s="282">
        <f ca="1">IF(L45="",NA(),SUM($D45:L45))</f>
        <v>-6.1</v>
      </c>
      <c r="M17" s="282">
        <f ca="1">IF(M45="",NA(),SUM($D45:M45))</f>
        <v>-10.1</v>
      </c>
      <c r="N17" s="282">
        <f ca="1">IF(N45="",NA(),SUM($D45:N45))</f>
        <v>-12</v>
      </c>
      <c r="O17" s="283">
        <f ca="1">IF(O45="",NA(),SUM($D45:O45))</f>
        <v>-15.9</v>
      </c>
      <c r="P17" s="281">
        <f ca="1">IF(P45="",NA(),SUM($D45:P45))</f>
        <v>-32.1</v>
      </c>
      <c r="Q17" s="282">
        <f ca="1">IF(Q45="",NA(),SUM($D45:Q45))</f>
        <v>-29.6</v>
      </c>
      <c r="R17" s="282">
        <f ca="1">IF(R45="",NA(),SUM($D45:R45))</f>
        <v>-19.5</v>
      </c>
      <c r="S17" s="283">
        <f ca="1">IF(S45="",NA(),SUM($D45:S45))</f>
        <v>-24</v>
      </c>
      <c r="T17" s="281">
        <f ca="1">IF(T45="",NA(),SUM($D45:T45))</f>
        <v>-28.5</v>
      </c>
      <c r="U17" s="282">
        <f ca="1">IF(U45="",NA(),SUM($D45:U45))</f>
        <v>-25.9</v>
      </c>
      <c r="V17" s="282">
        <f ca="1">IF(V45="",NA(),SUM($D45:V45))</f>
        <v>-32.699999999999996</v>
      </c>
      <c r="W17" s="283">
        <f ca="1">IF(W45="",NA(),SUM($D45:W45))</f>
        <v>-30.599999999999994</v>
      </c>
      <c r="X17" s="281">
        <f ca="1">IF(X45="",NA(),SUM($D45:X45))</f>
        <v>-26.899999999999995</v>
      </c>
      <c r="Y17" s="282">
        <f ca="1">IF(Y45="",NA(),SUM($D45:Y45))</f>
        <v>-31.999999999999993</v>
      </c>
      <c r="Z17" s="282">
        <f ca="1">IF(Z45="",NA(),SUM($D45:Z45))</f>
        <v>-36.999999999999993</v>
      </c>
      <c r="AA17" s="282">
        <f ca="1">IF(AA45="",NA(),SUM($D45:AA45))</f>
        <v>-31.399999999999991</v>
      </c>
      <c r="AB17" s="283">
        <f ca="1">IF(AB45="",NA(),SUM($D45:AB45))</f>
        <v>-40.79999999999999</v>
      </c>
      <c r="AC17" s="281">
        <f ca="1">IF(AC45="",NA(),SUM($D45:AC45))</f>
        <v>-40.099999999999987</v>
      </c>
      <c r="AD17" s="282">
        <f ca="1">IF(AD45="",NA(),SUM($D45:AD45))</f>
        <v>-36.999999999999986</v>
      </c>
      <c r="AE17" s="282">
        <f ca="1">IF(AE45="",NA(),SUM($D45:AE45))</f>
        <v>-43.199999999999989</v>
      </c>
      <c r="AF17" s="282">
        <f ca="1">IF(AF45="",NA(),SUM($D45:AF45))</f>
        <v>-43.299999999999756</v>
      </c>
      <c r="AG17" s="283">
        <f ca="1">IF(AG45="",NA(),SUM($D45:AG45))</f>
        <v>-35.699999999999754</v>
      </c>
      <c r="AH17" s="281">
        <f ca="1">IF(AH45="",NA(),SUM($D45:AH45))</f>
        <v>-44.799999999999756</v>
      </c>
      <c r="AI17" s="282">
        <f ca="1">IF(AI45="",NA(),SUM($D45:AI45))</f>
        <v>-50.099999999999753</v>
      </c>
      <c r="AJ17" s="282" t="e">
        <f ca="1">IF(AJ45="",NA(),SUM($D45:AJ45))</f>
        <v>#N/A</v>
      </c>
      <c r="AK17" s="282" t="e">
        <f ca="1">IF(AK45="",NA(),SUM($D45:AK45))</f>
        <v>#N/A</v>
      </c>
      <c r="AL17" s="283">
        <f ca="1">IF(AL45="",NA(),SUM($D45:AL45))</f>
        <v>-51.099999999999753</v>
      </c>
      <c r="AM17" s="281">
        <f ca="1">IF(AM45="",NA(),SUM($D45:AM45))</f>
        <v>-53.699999999999754</v>
      </c>
      <c r="AN17" s="282">
        <f ca="1">IF(AN45="",NA(),SUM($D45:AN45))</f>
        <v>-49.899999999999757</v>
      </c>
      <c r="AO17" s="282">
        <f ca="1">IF(AO45="",NA(),SUM($D45:AO45))</f>
        <v>-51.999999999999758</v>
      </c>
      <c r="AP17" s="282" t="e">
        <f ca="1">IF(AP45="",NA(),SUM($D45:AP45))</f>
        <v>#N/A</v>
      </c>
      <c r="AQ17" s="283" t="e">
        <f ca="1">IF(AQ45="",NA(),SUM($D45:AQ45))</f>
        <v>#N/A</v>
      </c>
      <c r="AR17" s="281">
        <f ca="1">IF(AR45="",NA(),SUM($D45:AR45))</f>
        <v>-54.399999999999757</v>
      </c>
      <c r="AS17" s="282">
        <f ca="1">IF(AS45="",NA(),SUM($D45:AS45))</f>
        <v>-53.09999999999976</v>
      </c>
      <c r="AT17" s="282">
        <f ca="1">IF(AT45="",NA(),SUM($D45:AT45))</f>
        <v>-53.699999999999761</v>
      </c>
      <c r="AU17" s="282" t="e">
        <f ca="1">IF(AU45="",NA(),SUM($D45:AU45))</f>
        <v>#N/A</v>
      </c>
      <c r="AV17" s="544" t="e">
        <f ca="1">IF(AV45="",NA(),SUM($D45:AV45))</f>
        <v>#N/A</v>
      </c>
      <c r="AW17" s="552" t="e">
        <f ca="1">IF(AW45="",NA(),SUM($D45:AW45))</f>
        <v>#N/A</v>
      </c>
      <c r="AX17" s="282" t="e">
        <f ca="1">IF(AX45="",NA(),SUM($D45:AX45))</f>
        <v>#N/A</v>
      </c>
      <c r="AY17" s="475" t="e">
        <f ca="1">IF(AY45="",NA(),SUM($D45:AY45))</f>
        <v>#N/A</v>
      </c>
      <c r="AZ17" s="282" t="e">
        <f ca="1">IF(AZ45="",NA(),SUM($D45:AZ45))</f>
        <v>#N/A</v>
      </c>
      <c r="BA17" s="283" t="e">
        <f ca="1">IF(BA45="",NA(),SUM($D45:BA45))</f>
        <v>#N/A</v>
      </c>
      <c r="BB17" s="642" t="e">
        <f ca="1">IF(BB45="",NA(),SUM($D45:BB45))</f>
        <v>#N/A</v>
      </c>
    </row>
    <row r="18" spans="1:54">
      <c r="A18" s="606">
        <v>7410</v>
      </c>
      <c r="B18" s="301" t="s">
        <v>1150</v>
      </c>
      <c r="C18" s="298" t="str">
        <f ca="1">INDIRECT(ADDRESS(MATCH(A18,【全期間】成果表実測値!$B:$B,0),5,4,TRUE,"【閲覧用】成果表"))</f>
        <v>中村記念病院</v>
      </c>
      <c r="D18" s="295">
        <f>IF(D46="",NA(),D46)</f>
        <v>0</v>
      </c>
      <c r="E18" s="281">
        <f ca="1">IF(E46="",NA(),SUM($D46:E46))</f>
        <v>-12.4</v>
      </c>
      <c r="F18" s="282">
        <f ca="1">IF(F46="",NA(),SUM($D46:F46))</f>
        <v>-9.5</v>
      </c>
      <c r="G18" s="282">
        <f ca="1">IF(G46="",NA(),SUM($D46:G46))</f>
        <v>-5.8</v>
      </c>
      <c r="H18" s="282" t="e">
        <f ca="1">IF(H46="",NA(),SUM($D46:H46))</f>
        <v>#N/A</v>
      </c>
      <c r="I18" s="282">
        <f ca="1">IF(I46="",NA(),SUM($D46:I46))</f>
        <v>-14.5</v>
      </c>
      <c r="J18" s="283">
        <f ca="1">IF(J46="",NA(),SUM($D46:J46))</f>
        <v>-13.8</v>
      </c>
      <c r="K18" s="281">
        <f ca="1">IF(K46="",NA(),SUM($D46:K46))</f>
        <v>-17.8</v>
      </c>
      <c r="L18" s="282">
        <f ca="1">IF(L46="",NA(),SUM($D46:L46))</f>
        <v>-13.700000000000001</v>
      </c>
      <c r="M18" s="282">
        <f ca="1">IF(M46="",NA(),SUM($D46:M46))</f>
        <v>-16.3</v>
      </c>
      <c r="N18" s="282">
        <f ca="1">IF(N46="",NA(),SUM($D46:N46))</f>
        <v>-17</v>
      </c>
      <c r="O18" s="283">
        <f ca="1">IF(O46="",NA(),SUM($D46:O46))</f>
        <v>-18.7</v>
      </c>
      <c r="P18" s="281">
        <f ca="1">IF(P46="",NA(),SUM($D46:P46))</f>
        <v>-28.2</v>
      </c>
      <c r="Q18" s="282">
        <f ca="1">IF(Q46="",NA(),SUM($D46:Q46))</f>
        <v>-26.8</v>
      </c>
      <c r="R18" s="282" t="e">
        <f ca="1">IF(R46="",NA(),SUM($D46:R46))</f>
        <v>#N/A</v>
      </c>
      <c r="S18" s="283" t="e">
        <f ca="1">IF(S46="",NA(),SUM($D46:S46))</f>
        <v>#N/A</v>
      </c>
      <c r="T18" s="281" t="e">
        <f ca="1">IF(T46="",NA(),SUM($D46:T46))</f>
        <v>#N/A</v>
      </c>
      <c r="U18" s="282">
        <f ca="1">IF(U46="",NA(),SUM($D46:U46))</f>
        <v>-23.7</v>
      </c>
      <c r="V18" s="282" t="e">
        <f ca="1">IF(V46="",NA(),SUM($D46:V46))</f>
        <v>#N/A</v>
      </c>
      <c r="W18" s="283" t="e">
        <f ca="1">IF(W46="",NA(),SUM($D46:W46))</f>
        <v>#N/A</v>
      </c>
      <c r="X18" s="281">
        <f ca="1">IF(X46="",NA(),SUM($D46:X46))</f>
        <v>-26.4</v>
      </c>
      <c r="Y18" s="282" t="e">
        <f ca="1">IF(Y46="",NA(),SUM($D46:Y46))</f>
        <v>#N/A</v>
      </c>
      <c r="Z18" s="282" t="e">
        <f ca="1">IF(Z46="",NA(),SUM($D46:Z46))</f>
        <v>#N/A</v>
      </c>
      <c r="AA18" s="282">
        <f ca="1">IF(AA46="",NA(),SUM($D46:AA46))</f>
        <v>-27.799999999999997</v>
      </c>
      <c r="AB18" s="283" t="e">
        <f ca="1">IF(AB46="",NA(),SUM($D46:AB46))</f>
        <v>#N/A</v>
      </c>
      <c r="AC18" s="281" t="e">
        <f ca="1">IF(AC46="",NA(),SUM($D46:AC46))</f>
        <v>#N/A</v>
      </c>
      <c r="AD18" s="282" t="e">
        <f ca="1">IF(AD46="",NA(),SUM($D46:AD46))</f>
        <v>#N/A</v>
      </c>
      <c r="AE18" s="282" t="e">
        <f ca="1">IF(AE46="",NA(),SUM($D46:AE46))</f>
        <v>#N/A</v>
      </c>
      <c r="AF18" s="282" t="e">
        <f ca="1">IF(AF46="",NA(),SUM($D46:AF46))</f>
        <v>#N/A</v>
      </c>
      <c r="AG18" s="283" t="e">
        <f ca="1">IF(AG46="",NA(),SUM($D46:AG46))</f>
        <v>#N/A</v>
      </c>
      <c r="AH18" s="281" t="e">
        <f ca="1">IF(AH46="",NA(),SUM($D46:AH46))</f>
        <v>#N/A</v>
      </c>
      <c r="AI18" s="282">
        <f ca="1">IF(AI46="",NA(),SUM($D46:AI46))</f>
        <v>-39.599999999999994</v>
      </c>
      <c r="AJ18" s="282" t="e">
        <f ca="1">IF(AJ46="",NA(),SUM($D46:AJ46))</f>
        <v>#N/A</v>
      </c>
      <c r="AK18" s="282" t="e">
        <f ca="1">IF(AK46="",NA(),SUM($D46:AK46))</f>
        <v>#N/A</v>
      </c>
      <c r="AL18" s="283" t="e">
        <f ca="1">IF(AL46="",NA(),SUM($D46:AL46))</f>
        <v>#N/A</v>
      </c>
      <c r="AM18" s="281">
        <f ca="1">IF(AM46="",NA(),SUM($D46:AM46))</f>
        <v>-42.399999999999991</v>
      </c>
      <c r="AN18" s="282">
        <f ca="1">IF(AN46="",NA(),SUM($D46:AN46))</f>
        <v>-37.79999999999999</v>
      </c>
      <c r="AO18" s="282">
        <f ca="1">IF(AO46="",NA(),SUM($D46:AO46))</f>
        <v>-40.199999999999989</v>
      </c>
      <c r="AP18" s="282" t="e">
        <f ca="1">IF(AP46="",NA(),SUM($D46:AP46))</f>
        <v>#N/A</v>
      </c>
      <c r="AQ18" s="283" t="e">
        <f ca="1">IF(AQ46="",NA(),SUM($D46:AQ46))</f>
        <v>#N/A</v>
      </c>
      <c r="AR18" s="281">
        <f ca="1">IF(AR46="",NA(),SUM($D46:AR46))</f>
        <v>-40.79999999999999</v>
      </c>
      <c r="AS18" s="282">
        <f ca="1">IF(AS46="",NA(),SUM($D46:AS46))</f>
        <v>-39.699999999999989</v>
      </c>
      <c r="AT18" s="282">
        <f ca="1">IF(AT46="",NA(),SUM($D46:AT46))</f>
        <v>-40.79999999999999</v>
      </c>
      <c r="AU18" s="282">
        <f ca="1">IF(AU46="",NA(),SUM($D46:AU46))</f>
        <v>-39.899999999999991</v>
      </c>
      <c r="AV18" s="544" t="e">
        <f ca="1">IF(AV46="",NA(),SUM($D46:AV46))</f>
        <v>#N/A</v>
      </c>
      <c r="AW18" s="552">
        <f ca="1">IF(AW46="",NA(),SUM($D46:AW46))</f>
        <v>-39.799999999996672</v>
      </c>
      <c r="AX18" s="282">
        <f ca="1">IF(AX46="",NA(),SUM($D46:AX46))</f>
        <v>-41.299999999996729</v>
      </c>
      <c r="AY18" s="475">
        <f ca="1">IF(AY46="",NA(),SUM($D46:AY46))</f>
        <v>-41.99999999999865</v>
      </c>
      <c r="AZ18" s="282">
        <f ca="1">IF(AZ46="",NA(),SUM($D46:AZ46))</f>
        <v>-41.400000000000048</v>
      </c>
      <c r="BA18" s="283">
        <f ca="1">IF(BA46="",NA(),SUM($D46:BA46))</f>
        <v>-42.399999999997718</v>
      </c>
      <c r="BB18" s="642">
        <f ca="1">IF(BB46="",NA(),SUM($D46:BB46))</f>
        <v>-42.299999999997951</v>
      </c>
    </row>
    <row r="19" spans="1:54">
      <c r="A19" s="300" t="s">
        <v>413</v>
      </c>
      <c r="B19" s="301" t="s">
        <v>1151</v>
      </c>
      <c r="C19" s="298" t="str">
        <f ca="1">INDIRECT(ADDRESS(MATCH(A19,【全期間】成果表実測値!$B:$B,0),5,4,TRUE,"【閲覧用】成果表"))</f>
        <v>豊水会館</v>
      </c>
      <c r="D19" s="295" t="e">
        <f>IF(D47="",NA(),D47)</f>
        <v>#N/A</v>
      </c>
      <c r="E19" s="281" t="e">
        <f>IF(E47="",NA(),SUM($D47:E47))</f>
        <v>#N/A</v>
      </c>
      <c r="F19" s="282" t="e">
        <f>IF(F47="",NA(),SUM($D47:F47))</f>
        <v>#N/A</v>
      </c>
      <c r="G19" s="282" t="e">
        <f>IF(G47="",NA(),SUM($D47:G47))</f>
        <v>#N/A</v>
      </c>
      <c r="H19" s="282">
        <f>IF(H47="",NA(),SUM($D47:H47))</f>
        <v>0</v>
      </c>
      <c r="I19" s="282">
        <f ca="1">IF(I47="",NA(),SUM($D47:I47))</f>
        <v>-6.1</v>
      </c>
      <c r="J19" s="283">
        <f ca="1">IF(J47="",NA(),SUM($D47:J47))</f>
        <v>-9.3000000000000007</v>
      </c>
      <c r="K19" s="281">
        <f ca="1">IF(K47="",NA(),SUM($D47:K47))</f>
        <v>-9.7000000000000011</v>
      </c>
      <c r="L19" s="282" t="e">
        <f ca="1">IF(L47="",NA(),SUM($D47:L47))</f>
        <v>#N/A</v>
      </c>
      <c r="M19" s="282">
        <f ca="1">IF(M47="",NA(),SUM($D47:M47))</f>
        <v>-10.9</v>
      </c>
      <c r="N19" s="282" t="e">
        <f ca="1">IF(N47="",NA(),SUM($D47:N47))</f>
        <v>#N/A</v>
      </c>
      <c r="O19" s="283" t="e">
        <f ca="1">IF(O47="",NA(),SUM($D47:O47))</f>
        <v>#N/A</v>
      </c>
      <c r="P19" s="281" t="e">
        <f ca="1">IF(P47="",NA(),SUM($D47:P47))</f>
        <v>#N/A</v>
      </c>
      <c r="Q19" s="282">
        <f ca="1">IF(Q47="",NA(),SUM($D47:Q47))</f>
        <v>-25.4</v>
      </c>
      <c r="R19" s="282" t="e">
        <f ca="1">IF(R47="",NA(),SUM($D47:R47))</f>
        <v>#N/A</v>
      </c>
      <c r="S19" s="283" t="e">
        <f ca="1">IF(S47="",NA(),SUM($D47:S47))</f>
        <v>#N/A</v>
      </c>
      <c r="T19" s="281" t="e">
        <f ca="1">IF(T47="",NA(),SUM($D47:T47))</f>
        <v>#N/A</v>
      </c>
      <c r="U19" s="282">
        <f ca="1">IF(U47="",NA(),SUM($D47:U47))</f>
        <v>-33</v>
      </c>
      <c r="V19" s="282" t="e">
        <f ca="1">IF(V47="",NA(),SUM($D47:V47))</f>
        <v>#N/A</v>
      </c>
      <c r="W19" s="283" t="e">
        <f ca="1">IF(W47="",NA(),SUM($D47:W47))</f>
        <v>#N/A</v>
      </c>
      <c r="X19" s="281">
        <f ca="1">IF(X47="",NA(),SUM($D47:X47))</f>
        <v>-28.6</v>
      </c>
      <c r="Y19" s="282" t="e">
        <f ca="1">IF(Y47="",NA(),SUM($D47:Y47))</f>
        <v>#N/A</v>
      </c>
      <c r="Z19" s="282" t="e">
        <f ca="1">IF(Z47="",NA(),SUM($D47:Z47))</f>
        <v>#N/A</v>
      </c>
      <c r="AA19" s="282">
        <f ca="1">IF(AA47="",NA(),SUM($D47:AA47))</f>
        <v>-29.400000000000002</v>
      </c>
      <c r="AB19" s="283" t="e">
        <f ca="1">IF(AB47="",NA(),SUM($D47:AB47))</f>
        <v>#N/A</v>
      </c>
      <c r="AC19" s="281" t="e">
        <f ca="1">IF(AC47="",NA(),SUM($D47:AC47))</f>
        <v>#N/A</v>
      </c>
      <c r="AD19" s="282" t="e">
        <f ca="1">IF(AD47="",NA(),SUM($D47:AD47))</f>
        <v>#N/A</v>
      </c>
      <c r="AE19" s="282" t="e">
        <f ca="1">IF(AE47="",NA(),SUM($D47:AE47))</f>
        <v>#N/A</v>
      </c>
      <c r="AF19" s="282" t="e">
        <f ca="1">IF(AF47="",NA(),SUM($D47:AF47))</f>
        <v>#N/A</v>
      </c>
      <c r="AG19" s="283" t="e">
        <f ca="1">IF(AG47="",NA(),SUM($D47:AG47))</f>
        <v>#N/A</v>
      </c>
      <c r="AH19" s="281" t="e">
        <f ca="1">IF(AH47="",NA(),SUM($D47:AH47))</f>
        <v>#N/A</v>
      </c>
      <c r="AI19" s="282">
        <f ca="1">IF(AI47="",NA(),SUM($D47:AI47))</f>
        <v>-50.1</v>
      </c>
      <c r="AJ19" s="282" t="e">
        <f ca="1">IF(AJ47="",NA(),SUM($D47:AJ47))</f>
        <v>#N/A</v>
      </c>
      <c r="AK19" s="282" t="e">
        <f ca="1">IF(AK47="",NA(),SUM($D47:AK47))</f>
        <v>#N/A</v>
      </c>
      <c r="AL19" s="283" t="e">
        <f ca="1">IF(AL47="",NA(),SUM($D47:AL47))</f>
        <v>#N/A</v>
      </c>
      <c r="AM19" s="281">
        <f ca="1">IF(AM47="",NA(),SUM($D47:AM47))</f>
        <v>-51.7</v>
      </c>
      <c r="AN19" s="282">
        <f ca="1">IF(AN47="",NA(),SUM($D47:AN47))</f>
        <v>-48</v>
      </c>
      <c r="AO19" s="282">
        <f ca="1">IF(AO47="",NA(),SUM($D47:AO47))</f>
        <v>-49.4</v>
      </c>
      <c r="AP19" s="282" t="e">
        <f ca="1">IF(AP47="",NA(),SUM($D47:AP47))</f>
        <v>#N/A</v>
      </c>
      <c r="AQ19" s="283" t="e">
        <f ca="1">IF(AQ47="",NA(),SUM($D47:AQ47))</f>
        <v>#N/A</v>
      </c>
      <c r="AR19" s="281">
        <f ca="1">IF(AR47="",NA(),SUM($D47:AR47))</f>
        <v>-51.5</v>
      </c>
      <c r="AS19" s="282" t="e">
        <f ca="1">IF(AS47="",NA(),SUM($D47:AS47))</f>
        <v>#N/A</v>
      </c>
      <c r="AT19" s="282">
        <f ca="1">IF(AT47="",NA(),SUM($D47:AT47))</f>
        <v>-50</v>
      </c>
      <c r="AU19" s="282">
        <f ca="1">IF(AU47="",NA(),SUM($D47:AU47))</f>
        <v>-51.6</v>
      </c>
      <c r="AV19" s="544" t="e">
        <f ca="1">IF(AV47="",NA(),SUM($D47:AV47))</f>
        <v>#N/A</v>
      </c>
      <c r="AW19" s="552">
        <f ca="1">IF(AW47="",NA(),SUM($D47:AW47))</f>
        <v>-50.299999999999478</v>
      </c>
      <c r="AX19" s="282" t="e">
        <f ca="1">IF(AX47="",NA(),SUM($D47:AX47))</f>
        <v>#N/A</v>
      </c>
      <c r="AY19" s="475">
        <f ca="1">IF(AY47="",NA(),SUM($D47:AY47))</f>
        <v>-55.50000000000157</v>
      </c>
      <c r="AZ19" s="282">
        <f ca="1">IF(AZ47="",NA(),SUM($D47:AZ47))</f>
        <v>-56.100000000003725</v>
      </c>
      <c r="BA19" s="283">
        <f ca="1">IF(BA47="",NA(),SUM($D47:BA47))</f>
        <v>-57.800000000003315</v>
      </c>
      <c r="BB19" s="642" t="e">
        <f ca="1">IF(BB47="",NA(),SUM($D47:BB47))</f>
        <v>#N/A</v>
      </c>
    </row>
    <row r="20" spans="1:54">
      <c r="A20" s="606">
        <v>7409</v>
      </c>
      <c r="B20" s="301" t="s">
        <v>1140</v>
      </c>
      <c r="C20" s="298" t="str">
        <f ca="1">INDIRECT(ADDRESS(MATCH(A20,【全期間】成果表実測値!$B:$B,0),5,4,TRUE,"【閲覧用】成果表"))</f>
        <v>シーアイマンション円山</v>
      </c>
      <c r="D20" s="295">
        <f>IF(D48="",NA(),D48)</f>
        <v>0</v>
      </c>
      <c r="E20" s="281">
        <f ca="1">IF(E48="",NA(),SUM($D48:E48))</f>
        <v>-26.1</v>
      </c>
      <c r="F20" s="282">
        <f ca="1">IF(F48="",NA(),SUM($D48:F48))</f>
        <v>-21.900000000000002</v>
      </c>
      <c r="G20" s="282">
        <f ca="1">IF(G48="",NA(),SUM($D48:G48))</f>
        <v>-15.300000000000002</v>
      </c>
      <c r="H20" s="282" t="e">
        <f ca="1">IF(H48="",NA(),SUM($D48:H48))</f>
        <v>#N/A</v>
      </c>
      <c r="I20" s="282">
        <f ca="1">IF(I48="",NA(),SUM($D48:I48))</f>
        <v>-31</v>
      </c>
      <c r="J20" s="283">
        <f ca="1">IF(J48="",NA(),SUM($D48:J48))</f>
        <v>-32</v>
      </c>
      <c r="K20" s="281">
        <f ca="1">IF(K48="",NA(),SUM($D48:K48))</f>
        <v>-32.799999999999997</v>
      </c>
      <c r="L20" s="282">
        <f ca="1">IF(L48="",NA(),SUM($D48:L48))</f>
        <v>-31.799999999999997</v>
      </c>
      <c r="M20" s="282">
        <f ca="1">IF(M48="",NA(),SUM($D48:M48))</f>
        <v>-33.699999999999996</v>
      </c>
      <c r="N20" s="282">
        <f ca="1">IF(N48="",NA(),SUM($D48:N48))</f>
        <v>-34.799999999999997</v>
      </c>
      <c r="O20" s="283">
        <f ca="1">IF(O48="",NA(),SUM($D48:O48))</f>
        <v>-37.5</v>
      </c>
      <c r="P20" s="281">
        <f ca="1">IF(P48="",NA(),SUM($D48:P48))</f>
        <v>-48.8</v>
      </c>
      <c r="Q20" s="282">
        <f ca="1">IF(Q48="",NA(),SUM($D48:Q48))</f>
        <v>-48.4</v>
      </c>
      <c r="R20" s="282" t="e">
        <f ca="1">IF(R48="",NA(),SUM($D48:R48))</f>
        <v>#N/A</v>
      </c>
      <c r="S20" s="283" t="e">
        <f ca="1">IF(S48="",NA(),SUM($D48:S48))</f>
        <v>#N/A</v>
      </c>
      <c r="T20" s="281" t="e">
        <f ca="1">IF(T48="",NA(),SUM($D48:T48))</f>
        <v>#N/A</v>
      </c>
      <c r="U20" s="282">
        <f ca="1">IF(U48="",NA(),SUM($D48:U48))</f>
        <v>-50.3</v>
      </c>
      <c r="V20" s="282" t="e">
        <f ca="1">IF(V48="",NA(),SUM($D48:V48))</f>
        <v>#N/A</v>
      </c>
      <c r="W20" s="283" t="e">
        <f ca="1">IF(W48="",NA(),SUM($D48:W48))</f>
        <v>#N/A</v>
      </c>
      <c r="X20" s="281">
        <f ca="1">IF(X48="",NA(),SUM($D48:X48))</f>
        <v>-53.699999999999996</v>
      </c>
      <c r="Y20" s="282" t="e">
        <f ca="1">IF(Y48="",NA(),SUM($D48:Y48))</f>
        <v>#N/A</v>
      </c>
      <c r="Z20" s="282" t="e">
        <f ca="1">IF(Z48="",NA(),SUM($D48:Z48))</f>
        <v>#N/A</v>
      </c>
      <c r="AA20" s="282">
        <f ca="1">IF(AA48="",NA(),SUM($D48:AA48))</f>
        <v>-57.4</v>
      </c>
      <c r="AB20" s="283" t="e">
        <f ca="1">IF(AB48="",NA(),SUM($D48:AB48))</f>
        <v>#N/A</v>
      </c>
      <c r="AC20" s="281" t="e">
        <f ca="1">IF(AC48="",NA(),SUM($D48:AC48))</f>
        <v>#N/A</v>
      </c>
      <c r="AD20" s="282" t="e">
        <f ca="1">IF(AD48="",NA(),SUM($D48:AD48))</f>
        <v>#N/A</v>
      </c>
      <c r="AE20" s="282" t="e">
        <f ca="1">IF(AE48="",NA(),SUM($D48:AE48))</f>
        <v>#N/A</v>
      </c>
      <c r="AF20" s="282" t="e">
        <f ca="1">IF(AF48="",NA(),SUM($D48:AF48))</f>
        <v>#N/A</v>
      </c>
      <c r="AG20" s="283" t="e">
        <f ca="1">IF(AG48="",NA(),SUM($D48:AG48))</f>
        <v>#N/A</v>
      </c>
      <c r="AH20" s="281" t="e">
        <f ca="1">IF(AH48="",NA(),SUM($D48:AH48))</f>
        <v>#N/A</v>
      </c>
      <c r="AI20" s="282">
        <f ca="1">IF(AI48="",NA(),SUM($D48:AI48))</f>
        <v>-71.5</v>
      </c>
      <c r="AJ20" s="282" t="e">
        <f ca="1">IF(AJ48="",NA(),SUM($D48:AJ48))</f>
        <v>#N/A</v>
      </c>
      <c r="AK20" s="282" t="e">
        <f ca="1">IF(AK48="",NA(),SUM($D48:AK48))</f>
        <v>#N/A</v>
      </c>
      <c r="AL20" s="283" t="e">
        <f ca="1">IF(AL48="",NA(),SUM($D48:AL48))</f>
        <v>#N/A</v>
      </c>
      <c r="AM20" s="281" t="e">
        <f ca="1">IF(AM48="",NA(),SUM($D48:AM48))</f>
        <v>#N/A</v>
      </c>
      <c r="AN20" s="282">
        <f ca="1">IF(AN48="",NA(),SUM($D48:AN48))</f>
        <v>-67.599999999999994</v>
      </c>
      <c r="AO20" s="282">
        <f ca="1">IF(AO48="",NA(),SUM($D48:AO48))</f>
        <v>-68.5</v>
      </c>
      <c r="AP20" s="282" t="e">
        <f ca="1">IF(AP48="",NA(),SUM($D48:AP48))</f>
        <v>#N/A</v>
      </c>
      <c r="AQ20" s="283" t="e">
        <f ca="1">IF(AQ48="",NA(),SUM($D48:AQ48))</f>
        <v>#N/A</v>
      </c>
      <c r="AR20" s="281">
        <f ca="1">IF(AR48="",NA(),SUM($D48:AR48))</f>
        <v>-72</v>
      </c>
      <c r="AS20" s="282">
        <f ca="1">IF(AS48="",NA(),SUM($D48:AS48))</f>
        <v>-71.7</v>
      </c>
      <c r="AT20" s="282">
        <f ca="1">IF(AT48="",NA(),SUM($D48:AT48))</f>
        <v>-74</v>
      </c>
      <c r="AU20" s="282">
        <f ca="1">IF(AU48="",NA(),SUM($D48:AU48))</f>
        <v>-74.099999999999994</v>
      </c>
      <c r="AV20" s="544" t="e">
        <f ca="1">IF(AV48="",NA(),SUM($D48:AV48))</f>
        <v>#N/A</v>
      </c>
      <c r="AW20" s="552">
        <f ca="1">IF(AW48="",NA(),SUM($D48:AW48))</f>
        <v>-75.200000000000983</v>
      </c>
      <c r="AX20" s="282">
        <f ca="1">IF(AX48="",NA(),SUM($D48:AX48))</f>
        <v>-78.400000000000631</v>
      </c>
      <c r="AY20" s="475">
        <f ca="1">IF(AY48="",NA(),SUM($D48:AY48))</f>
        <v>-78.999999999999233</v>
      </c>
      <c r="AZ20" s="282">
        <f ca="1">IF(AZ48="",NA(),SUM($D48:AZ48))</f>
        <v>-79.600000000001387</v>
      </c>
      <c r="BA20" s="283">
        <f ca="1">IF(BA48="",NA(),SUM($D48:BA48))</f>
        <v>-81.300000000000978</v>
      </c>
      <c r="BB20" s="642">
        <f ca="1">IF(BB48="",NA(),SUM($D48:BB48))</f>
        <v>-81.500000000000512</v>
      </c>
    </row>
    <row r="21" spans="1:54">
      <c r="A21" s="606">
        <v>7408</v>
      </c>
      <c r="B21" s="301" t="s">
        <v>1141</v>
      </c>
      <c r="C21" s="298" t="str">
        <f ca="1">INDIRECT(ADDRESS(MATCH(A21,【全期間】成果表実測値!$B:$B,0),5,4,TRUE,"【閲覧用】成果表"))</f>
        <v>日登寺</v>
      </c>
      <c r="D21" s="295">
        <f>IF(D49="",NA(),D49)</f>
        <v>0</v>
      </c>
      <c r="E21" s="281">
        <f ca="1">IF(E49="",NA(),SUM($D49:E49))</f>
        <v>-26.4</v>
      </c>
      <c r="F21" s="282">
        <f ca="1">IF(F49="",NA(),SUM($D49:F49))</f>
        <v>-21.799999999999997</v>
      </c>
      <c r="G21" s="282">
        <f ca="1">IF(G49="",NA(),SUM($D49:G49))</f>
        <v>-17.699999999999996</v>
      </c>
      <c r="H21" s="282" t="e">
        <f ca="1">IF(H49="",NA(),SUM($D49:H49))</f>
        <v>#N/A</v>
      </c>
      <c r="I21" s="282">
        <f ca="1">IF(I49="",NA(),SUM($D49:I49))</f>
        <v>-25.199999999999996</v>
      </c>
      <c r="J21" s="283">
        <f ca="1">IF(J49="",NA(),SUM($D49:J49))</f>
        <v>-24.999999999999996</v>
      </c>
      <c r="K21" s="281">
        <f ca="1">IF(K49="",NA(),SUM($D49:K49))</f>
        <v>-27.499999999999996</v>
      </c>
      <c r="L21" s="282">
        <f ca="1">IF(L49="",NA(),SUM($D49:L49))</f>
        <v>-23.099999999999994</v>
      </c>
      <c r="M21" s="282">
        <f ca="1">IF(M49="",NA(),SUM($D49:M49))</f>
        <v>-26.299999999999994</v>
      </c>
      <c r="N21" s="282">
        <f ca="1">IF(N49="",NA(),SUM($D49:N49))</f>
        <v>-24.699999999999992</v>
      </c>
      <c r="O21" s="283">
        <f ca="1">IF(O49="",NA(),SUM($D49:O49))</f>
        <v>-26.499999999999993</v>
      </c>
      <c r="P21" s="281">
        <f ca="1">IF(P49="",NA(),SUM($D49:P49))</f>
        <v>-32.199999999999996</v>
      </c>
      <c r="Q21" s="282">
        <f ca="1">IF(Q49="",NA(),SUM($D49:Q49))</f>
        <v>-31.299999999999997</v>
      </c>
      <c r="R21" s="282" t="e">
        <f ca="1">IF(R49="",NA(),SUM($D49:R49))</f>
        <v>#N/A</v>
      </c>
      <c r="S21" s="283" t="e">
        <f ca="1">IF(S49="",NA(),SUM($D49:S49))</f>
        <v>#N/A</v>
      </c>
      <c r="T21" s="281" t="e">
        <f ca="1">IF(T49="",NA(),SUM($D49:T49))</f>
        <v>#N/A</v>
      </c>
      <c r="U21" s="282">
        <f ca="1">IF(U49="",NA(),SUM($D49:U49))</f>
        <v>-33.5</v>
      </c>
      <c r="V21" s="282" t="e">
        <f ca="1">IF(V49="",NA(),SUM($D49:V49))</f>
        <v>#N/A</v>
      </c>
      <c r="W21" s="283" t="e">
        <f ca="1">IF(W49="",NA(),SUM($D49:W49))</f>
        <v>#N/A</v>
      </c>
      <c r="X21" s="281">
        <f ca="1">IF(X49="",NA(),SUM($D49:X49))</f>
        <v>-36.5</v>
      </c>
      <c r="Y21" s="282" t="e">
        <f ca="1">IF(Y49="",NA(),SUM($D49:Y49))</f>
        <v>#N/A</v>
      </c>
      <c r="Z21" s="282" t="e">
        <f ca="1">IF(Z49="",NA(),SUM($D49:Z49))</f>
        <v>#N/A</v>
      </c>
      <c r="AA21" s="282">
        <f ca="1">IF(AA49="",NA(),SUM($D49:AA49))</f>
        <v>-38.4</v>
      </c>
      <c r="AB21" s="283" t="e">
        <f ca="1">IF(AB49="",NA(),SUM($D49:AB49))</f>
        <v>#N/A</v>
      </c>
      <c r="AC21" s="281" t="e">
        <f ca="1">IF(AC49="",NA(),SUM($D49:AC49))</f>
        <v>#N/A</v>
      </c>
      <c r="AD21" s="282" t="e">
        <f ca="1">IF(AD49="",NA(),SUM($D49:AD49))</f>
        <v>#N/A</v>
      </c>
      <c r="AE21" s="282" t="e">
        <f ca="1">IF(AE49="",NA(),SUM($D49:AE49))</f>
        <v>#N/A</v>
      </c>
      <c r="AF21" s="282" t="e">
        <f ca="1">IF(AF49="",NA(),SUM($D49:AF49))</f>
        <v>#N/A</v>
      </c>
      <c r="AG21" s="283" t="e">
        <f ca="1">IF(AG49="",NA(),SUM($D49:AG49))</f>
        <v>#N/A</v>
      </c>
      <c r="AH21" s="281" t="e">
        <f ca="1">IF(AH49="",NA(),SUM($D49:AH49))</f>
        <v>#N/A</v>
      </c>
      <c r="AI21" s="282">
        <f ca="1">IF(AI49="",NA(),SUM($D49:AI49))</f>
        <v>-41.699999999999996</v>
      </c>
      <c r="AJ21" s="282" t="e">
        <f ca="1">IF(AJ49="",NA(),SUM($D49:AJ49))</f>
        <v>#N/A</v>
      </c>
      <c r="AK21" s="282" t="e">
        <f ca="1">IF(AK49="",NA(),SUM($D49:AK49))</f>
        <v>#N/A</v>
      </c>
      <c r="AL21" s="283" t="e">
        <f ca="1">IF(AL49="",NA(),SUM($D49:AL49))</f>
        <v>#N/A</v>
      </c>
      <c r="AM21" s="281">
        <f ca="1">IF(AM49="",NA(),SUM($D49:AM49))</f>
        <v>-45.699999999999996</v>
      </c>
      <c r="AN21" s="282">
        <f ca="1">IF(AN49="",NA(),SUM($D49:AN49))</f>
        <v>-42.4</v>
      </c>
      <c r="AO21" s="282">
        <f ca="1">IF(AO49="",NA(),SUM($D49:AO49))</f>
        <v>-41.4</v>
      </c>
      <c r="AP21" s="282">
        <f ca="1">IF(AP49="",NA(),SUM($D49:AP49))</f>
        <v>-39.199999999999996</v>
      </c>
      <c r="AQ21" s="283">
        <f ca="1">IF(AQ49="",NA(),SUM($D49:AQ49))</f>
        <v>-42.499999999999993</v>
      </c>
      <c r="AR21" s="281">
        <f ca="1">IF(AR49="",NA(),SUM($D49:AR49))</f>
        <v>-42.399999999999991</v>
      </c>
      <c r="AS21" s="282">
        <f ca="1">IF(AS49="",NA(),SUM($D49:AS49))</f>
        <v>-41.399999999999991</v>
      </c>
      <c r="AT21" s="282">
        <f ca="1">IF(AT49="",NA(),SUM($D49:AT49))</f>
        <v>-41.599999999999994</v>
      </c>
      <c r="AU21" s="282">
        <f ca="1">IF(AU49="",NA(),SUM($D49:AU49))</f>
        <v>-40.799999999999997</v>
      </c>
      <c r="AV21" s="544" t="e">
        <f ca="1">IF(AV49="",NA(),SUM($D49:AV49))</f>
        <v>#N/A</v>
      </c>
      <c r="AW21" s="552">
        <f ca="1">IF(AW49="",NA(),SUM($D49:AW49))</f>
        <v>-40.600000000000463</v>
      </c>
      <c r="AX21" s="282">
        <f ca="1">IF(AX49="",NA(),SUM($D49:AX49))</f>
        <v>-42.000000000000753</v>
      </c>
      <c r="AY21" s="475">
        <f ca="1">IF(AY49="",NA(),SUM($D49:AY49))</f>
        <v>-42.599999999999355</v>
      </c>
      <c r="AZ21" s="282">
        <f ca="1">IF(AZ49="",NA(),SUM($D49:AZ49))</f>
        <v>-42.10000000000052</v>
      </c>
      <c r="BA21" s="283">
        <f ca="1">IF(BA49="",NA(),SUM($D49:BA49))</f>
        <v>-42.399999999999821</v>
      </c>
      <c r="BB21" s="642">
        <f ca="1">IF(BB49="",NA(),SUM($D49:BB49))</f>
        <v>-42.499999999999588</v>
      </c>
    </row>
    <row r="22" spans="1:54">
      <c r="A22" s="277" t="s">
        <v>1146</v>
      </c>
      <c r="B22" s="262"/>
      <c r="C22" s="297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 t="s">
        <v>247</v>
      </c>
      <c r="AJ22" s="284"/>
      <c r="AK22" s="284"/>
      <c r="AL22" s="284"/>
      <c r="AM22" s="284"/>
      <c r="AN22" s="571"/>
      <c r="AO22" s="573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644"/>
      <c r="BB22" s="285"/>
    </row>
    <row r="23" spans="1:54">
      <c r="A23" s="300" t="s">
        <v>465</v>
      </c>
      <c r="B23" s="301" t="s">
        <v>1157</v>
      </c>
      <c r="C23" s="298" t="str">
        <f ca="1">INDIRECT(ADDRESS(MATCH(A23,【全期間】成果表実測値!$B:$B,0),5,4,TRUE,"【閲覧用】成果表"))</f>
        <v>白石小学校</v>
      </c>
      <c r="D23" s="295" t="e">
        <f>IF(D51="",NA(),D51)</f>
        <v>#N/A</v>
      </c>
      <c r="E23" s="281" t="e">
        <f>IF(E51="",NA(),SUM($D51:E51))</f>
        <v>#N/A</v>
      </c>
      <c r="F23" s="282">
        <f>IF(F51="",NA(),SUM($D51:F51))</f>
        <v>0</v>
      </c>
      <c r="G23" s="282">
        <f ca="1">IF(G51="",NA(),SUM($D51:G51))</f>
        <v>5</v>
      </c>
      <c r="H23" s="282">
        <f ca="1">IF(H51="",NA(),SUM($D51:H51))</f>
        <v>10.199999999999999</v>
      </c>
      <c r="I23" s="282">
        <f ca="1">IF(I51="",NA(),SUM($D51:I51))</f>
        <v>-4.5</v>
      </c>
      <c r="J23" s="283">
        <f ca="1">IF(J51="",NA(),SUM($D51:J51))</f>
        <v>-7.9</v>
      </c>
      <c r="K23" s="281">
        <f ca="1">IF(K51="",NA(),SUM($D51:K51))</f>
        <v>-10.9</v>
      </c>
      <c r="L23" s="282">
        <f ca="1">IF(L51="",NA(),SUM($D51:L51))</f>
        <v>-8.1000000000000014</v>
      </c>
      <c r="M23" s="282">
        <f ca="1">IF(M51="",NA(),SUM($D51:M51))</f>
        <v>-8.9000000000000021</v>
      </c>
      <c r="N23" s="282">
        <f ca="1">IF(N51="",NA(),SUM($D51:N51))</f>
        <v>-11.100000000000001</v>
      </c>
      <c r="O23" s="283">
        <f ca="1">IF(O51="",NA(),SUM($D51:O51))</f>
        <v>-7.6000000000000014</v>
      </c>
      <c r="P23" s="281" t="e">
        <f ca="1">IF(P51="",NA(),SUM($D51:P51))</f>
        <v>#N/A</v>
      </c>
      <c r="Q23" s="282" t="e">
        <f ca="1">IF(Q51="",NA(),SUM($D51:Q51))</f>
        <v>#N/A</v>
      </c>
      <c r="R23" s="282" t="e">
        <f ca="1">IF(R51="",NA(),SUM($D51:R51))</f>
        <v>#N/A</v>
      </c>
      <c r="S23" s="283" t="e">
        <f ca="1">IF(S51="",NA(),SUM($D51:S51))</f>
        <v>#N/A</v>
      </c>
      <c r="T23" s="281" t="e">
        <f ca="1">IF(T51="",NA(),SUM($D51:T51))</f>
        <v>#N/A</v>
      </c>
      <c r="U23" s="282">
        <f ca="1">IF(U51="",NA(),SUM($D51:U51))</f>
        <v>-25.400000000000002</v>
      </c>
      <c r="V23" s="282" t="e">
        <f ca="1">IF(V51="",NA(),SUM($D51:V51))</f>
        <v>#N/A</v>
      </c>
      <c r="W23" s="283" t="e">
        <f ca="1">IF(W51="",NA(),SUM($D51:W51))</f>
        <v>#N/A</v>
      </c>
      <c r="X23" s="281">
        <f ca="1">IF(X51="",NA(),SUM($D51:X51))</f>
        <v>-26.500000000000004</v>
      </c>
      <c r="Y23" s="282" t="e">
        <f ca="1">IF(Y51="",NA(),SUM($D51:Y51))</f>
        <v>#N/A</v>
      </c>
      <c r="Z23" s="282" t="e">
        <f ca="1">IF(Z51="",NA(),SUM($D51:Z51))</f>
        <v>#N/A</v>
      </c>
      <c r="AA23" s="282">
        <f ca="1">IF(AA51="",NA(),SUM($D51:AA51))</f>
        <v>-28.300000000000004</v>
      </c>
      <c r="AB23" s="283" t="e">
        <f ca="1">IF(AB51="",NA(),SUM($D51:AB51))</f>
        <v>#N/A</v>
      </c>
      <c r="AC23" s="281" t="e">
        <f ca="1">IF(AC51="",NA(),SUM($D51:AC51))</f>
        <v>#N/A</v>
      </c>
      <c r="AD23" s="282" t="e">
        <f ca="1">IF(AD51="",NA(),SUM($D51:AD51))</f>
        <v>#N/A</v>
      </c>
      <c r="AE23" s="282" t="e">
        <f ca="1">IF(AE51="",NA(),SUM($D51:AE51))</f>
        <v>#N/A</v>
      </c>
      <c r="AF23" s="282" t="e">
        <f ca="1">IF(AF51="",NA(),SUM($D51:AF51))</f>
        <v>#N/A</v>
      </c>
      <c r="AG23" s="283">
        <f ca="1">IF(AG51="",NA(),SUM($D51:AG51))</f>
        <v>-35.800000000000004</v>
      </c>
      <c r="AH23" s="281" t="e">
        <f ca="1">IF(AH51="",NA(),SUM($D51:AH51))</f>
        <v>#N/A</v>
      </c>
      <c r="AI23" s="282">
        <f ca="1">IF(AI51="",NA(),SUM($D51:AI51))</f>
        <v>-50.2</v>
      </c>
      <c r="AJ23" s="282" t="e">
        <f ca="1">IF(AJ51="",NA(),SUM($D51:AJ51))</f>
        <v>#N/A</v>
      </c>
      <c r="AK23" s="282" t="e">
        <f ca="1">IF(AK51="",NA(),SUM($D51:AK51))</f>
        <v>#N/A</v>
      </c>
      <c r="AL23" s="283" t="e">
        <f ca="1">IF(AL51="",NA(),SUM($D51:AL51))</f>
        <v>#N/A</v>
      </c>
      <c r="AM23" s="281">
        <f ca="1">IF(AM51="",NA(),SUM($D51:AM51))</f>
        <v>-47.1</v>
      </c>
      <c r="AN23" s="282">
        <f ca="1">IF(AN51="",NA(),SUM($D51:AN51))</f>
        <v>-47</v>
      </c>
      <c r="AO23" s="282">
        <f ca="1">IF(AO51="",NA(),SUM($D51:AO51))</f>
        <v>-49.2</v>
      </c>
      <c r="AP23" s="282" t="e">
        <f ca="1">IF(AP51="",NA(),SUM($D51:AP51))</f>
        <v>#N/A</v>
      </c>
      <c r="AQ23" s="283" t="e">
        <f ca="1">IF(AQ51="",NA(),SUM($D51:AQ51))</f>
        <v>#N/A</v>
      </c>
      <c r="AR23" s="281">
        <f ca="1">IF(AR51="",NA(),SUM($D51:AR51))</f>
        <v>-50.5</v>
      </c>
      <c r="AS23" s="282" t="e">
        <f ca="1">IF(AS51="",NA(),SUM($D51:AS51))</f>
        <v>#N/A</v>
      </c>
      <c r="AT23" s="282">
        <f ca="1">IF(AT51="",NA(),SUM($D51:AT51))</f>
        <v>-48.4</v>
      </c>
      <c r="AU23" s="282" t="e">
        <f ca="1">IF(AU51="",NA(),SUM($D51:AU51))</f>
        <v>#N/A</v>
      </c>
      <c r="AV23" s="544" t="e">
        <f ca="1">IF(AV51="",NA(),SUM($D51:AV51))</f>
        <v>#N/A</v>
      </c>
      <c r="AW23" s="552">
        <f ca="1">IF(AW51="",NA(),SUM($D51:AW51))</f>
        <v>-47.699999999998077</v>
      </c>
      <c r="AX23" s="282" t="e">
        <f ca="1">IF(AX51="",NA(),SUM($D51:AX51))</f>
        <v>#N/A</v>
      </c>
      <c r="AY23" s="475">
        <f ca="1">IF(AY51="",NA(),SUM($D51:AY51))</f>
        <v>-50.299999999999123</v>
      </c>
      <c r="AZ23" s="282" t="e">
        <f ca="1">IF(AZ51="",NA(),SUM($D51:AZ51))</f>
        <v>#N/A</v>
      </c>
      <c r="BA23" s="283" t="e">
        <f ca="1">IF(BA51="",NA(),SUM($D51:BA51))</f>
        <v>#N/A</v>
      </c>
      <c r="BB23" s="642" t="e">
        <f ca="1">IF(BB51="",NA(),SUM($D51:BB51))</f>
        <v>#N/A</v>
      </c>
    </row>
    <row r="24" spans="1:54">
      <c r="A24" s="300" t="s">
        <v>469</v>
      </c>
      <c r="B24" s="301" t="s">
        <v>1158</v>
      </c>
      <c r="C24" s="298" t="str">
        <f ca="1">INDIRECT(ADDRESS(MATCH(A24,【全期間】成果表実測値!$B:$B,0),5,4,TRUE,"【閲覧用】成果表"))</f>
        <v>東白石小学校</v>
      </c>
      <c r="D24" s="295" t="e">
        <f>IF(D52="",NA(),D52)</f>
        <v>#N/A</v>
      </c>
      <c r="E24" s="281" t="e">
        <f>IF(E52="",NA(),SUM($D52:E52))</f>
        <v>#N/A</v>
      </c>
      <c r="F24" s="282" t="e">
        <f>IF(F52="",NA(),SUM($D52:F52))</f>
        <v>#N/A</v>
      </c>
      <c r="G24" s="282">
        <f>IF(G52="",NA(),SUM($D52:G52))</f>
        <v>0</v>
      </c>
      <c r="H24" s="282">
        <f ca="1">IF(H52="",NA(),SUM($D52:H52))</f>
        <v>8.6999999999999993</v>
      </c>
      <c r="I24" s="282">
        <f ca="1">IF(I52="",NA(),SUM($D52:I52))</f>
        <v>-5.6000000000000014</v>
      </c>
      <c r="J24" s="283">
        <f ca="1">IF(J52="",NA(),SUM($D52:J52))</f>
        <v>-10.000000000000002</v>
      </c>
      <c r="K24" s="281">
        <f ca="1">IF(K52="",NA(),SUM($D52:K52))</f>
        <v>-17.100000000000001</v>
      </c>
      <c r="L24" s="282" t="e">
        <f ca="1">IF(L52="",NA(),SUM($D52:L52))</f>
        <v>#N/A</v>
      </c>
      <c r="M24" s="282">
        <f ca="1">IF(M52="",NA(),SUM($D52:M52))</f>
        <v>-14.8</v>
      </c>
      <c r="N24" s="282" t="e">
        <f ca="1">IF(N52="",NA(),SUM($D52:N52))</f>
        <v>#N/A</v>
      </c>
      <c r="O24" s="283">
        <f ca="1">IF(O52="",NA(),SUM($D52:O52))</f>
        <v>-12.3</v>
      </c>
      <c r="P24" s="281" t="e">
        <f ca="1">IF(P52="",NA(),SUM($D52:P52))</f>
        <v>#N/A</v>
      </c>
      <c r="Q24" s="282" t="e">
        <f ca="1">IF(Q52="",NA(),SUM($D52:Q52))</f>
        <v>#N/A</v>
      </c>
      <c r="R24" s="282" t="e">
        <f ca="1">IF(R52="",NA(),SUM($D52:R52))</f>
        <v>#N/A</v>
      </c>
      <c r="S24" s="283" t="e">
        <f ca="1">IF(S52="",NA(),SUM($D52:S52))</f>
        <v>#N/A</v>
      </c>
      <c r="T24" s="281" t="e">
        <f ca="1">IF(T52="",NA(),SUM($D52:T52))</f>
        <v>#N/A</v>
      </c>
      <c r="U24" s="282">
        <f ca="1">IF(U52="",NA(),SUM($D52:U52))</f>
        <v>-33.299999999999997</v>
      </c>
      <c r="V24" s="282" t="e">
        <f ca="1">IF(V52="",NA(),SUM($D52:V52))</f>
        <v>#N/A</v>
      </c>
      <c r="W24" s="283" t="e">
        <f ca="1">IF(W52="",NA(),SUM($D52:W52))</f>
        <v>#N/A</v>
      </c>
      <c r="X24" s="281">
        <f ca="1">IF(X52="",NA(),SUM($D52:X52))</f>
        <v>-33.9</v>
      </c>
      <c r="Y24" s="282" t="e">
        <f ca="1">IF(Y52="",NA(),SUM($D52:Y52))</f>
        <v>#N/A</v>
      </c>
      <c r="Z24" s="282" t="e">
        <f ca="1">IF(Z52="",NA(),SUM($D52:Z52))</f>
        <v>#N/A</v>
      </c>
      <c r="AA24" s="282">
        <f ca="1">IF(AA52="",NA(),SUM($D52:AA52))</f>
        <v>-35.9</v>
      </c>
      <c r="AB24" s="283" t="e">
        <f ca="1">IF(AB52="",NA(),SUM($D52:AB52))</f>
        <v>#N/A</v>
      </c>
      <c r="AC24" s="281" t="e">
        <f ca="1">IF(AC52="",NA(),SUM($D52:AC52))</f>
        <v>#N/A</v>
      </c>
      <c r="AD24" s="282" t="e">
        <f ca="1">IF(AD52="",NA(),SUM($D52:AD52))</f>
        <v>#N/A</v>
      </c>
      <c r="AE24" s="282" t="e">
        <f ca="1">IF(AE52="",NA(),SUM($D52:AE52))</f>
        <v>#N/A</v>
      </c>
      <c r="AF24" s="282" t="e">
        <f ca="1">IF(AF52="",NA(),SUM($D52:AF52))</f>
        <v>#N/A</v>
      </c>
      <c r="AG24" s="283" t="e">
        <f ca="1">IF(AG52="",NA(),SUM($D52:AG52))</f>
        <v>#N/A</v>
      </c>
      <c r="AH24" s="281" t="e">
        <f ca="1">IF(AH52="",NA(),SUM($D52:AH52))</f>
        <v>#N/A</v>
      </c>
      <c r="AI24" s="282">
        <f ca="1">IF(AI52="",NA(),SUM($D52:AI52))</f>
        <v>-60.099999999999994</v>
      </c>
      <c r="AJ24" s="282" t="e">
        <f ca="1">IF(AJ52="",NA(),SUM($D52:AJ52))</f>
        <v>#N/A</v>
      </c>
      <c r="AK24" s="282" t="e">
        <f ca="1">IF(AK52="",NA(),SUM($D52:AK52))</f>
        <v>#N/A</v>
      </c>
      <c r="AL24" s="283" t="e">
        <f ca="1">IF(AL52="",NA(),SUM($D52:AL52))</f>
        <v>#N/A</v>
      </c>
      <c r="AM24" s="281" t="e">
        <f ca="1">IF(AM52="",NA(),SUM($D52:AM52))</f>
        <v>#N/A</v>
      </c>
      <c r="AN24" s="282">
        <f ca="1">IF(AN52="",NA(),SUM($D52:AN52))</f>
        <v>-57.099999999999994</v>
      </c>
      <c r="AO24" s="282">
        <f ca="1">IF(AO52="",NA(),SUM($D52:AO52))</f>
        <v>-58.3</v>
      </c>
      <c r="AP24" s="282" t="e">
        <f ca="1">IF(AP52="",NA(),SUM($D52:AP52))</f>
        <v>#N/A</v>
      </c>
      <c r="AQ24" s="283" t="e">
        <f ca="1">IF(AQ52="",NA(),SUM($D52:AQ52))</f>
        <v>#N/A</v>
      </c>
      <c r="AR24" s="281">
        <f ca="1">IF(AR52="",NA(),SUM($D52:AR52))</f>
        <v>-60.5</v>
      </c>
      <c r="AS24" s="282" t="e">
        <f ca="1">IF(AS52="",NA(),SUM($D52:AS52))</f>
        <v>#N/A</v>
      </c>
      <c r="AT24" s="282">
        <f ca="1">IF(AT52="",NA(),SUM($D52:AT52))</f>
        <v>-58.2</v>
      </c>
      <c r="AU24" s="282" t="e">
        <f ca="1">IF(AU52="",NA(),SUM($D52:AU52))</f>
        <v>#N/A</v>
      </c>
      <c r="AV24" s="544" t="e">
        <f ca="1">IF(AV52="",NA(),SUM($D52:AV52))</f>
        <v>#N/A</v>
      </c>
      <c r="AW24" s="552">
        <f ca="1">IF(AW52="",NA(),SUM($D52:AW52))</f>
        <v>-58.699999999998838</v>
      </c>
      <c r="AX24" s="282" t="e">
        <f ca="1">IF(AX52="",NA(),SUM($D52:AX52))</f>
        <v>#N/A</v>
      </c>
      <c r="AY24" s="475" t="e">
        <f ca="1">IF(AY52="",NA(),SUM($D52:AY52))</f>
        <v>#N/A</v>
      </c>
      <c r="AZ24" s="282" t="e">
        <f ca="1">IF(AZ52="",NA(),SUM($D52:AZ52))</f>
        <v>#N/A</v>
      </c>
      <c r="BA24" s="283" t="e">
        <f ca="1">IF(BA52="",NA(),SUM($D52:BA52))</f>
        <v>#N/A</v>
      </c>
      <c r="BB24" s="642" t="e">
        <f ca="1">IF(BB52="",NA(),SUM($D52:BB52))</f>
        <v>#N/A</v>
      </c>
    </row>
    <row r="25" spans="1:54">
      <c r="A25" s="300" t="s">
        <v>488</v>
      </c>
      <c r="B25" s="301" t="s">
        <v>1147</v>
      </c>
      <c r="C25" s="298" t="str">
        <f ca="1">INDIRECT(ADDRESS(MATCH(A25,【全期間】成果表実測値!$B:$B,0),5,4,TRUE,"【閲覧用】成果表"))</f>
        <v>西岡小学校</v>
      </c>
      <c r="D25" s="295" t="e">
        <f>IF(D53="",NA(),D53)</f>
        <v>#N/A</v>
      </c>
      <c r="E25" s="281" t="e">
        <f>IF(E53="",NA(),SUM($D53:E53))</f>
        <v>#N/A</v>
      </c>
      <c r="F25" s="282" t="e">
        <f>IF(F53="",NA(),SUM($D53:F53))</f>
        <v>#N/A</v>
      </c>
      <c r="G25" s="282" t="e">
        <f>IF(G53="",NA(),SUM($D53:G53))</f>
        <v>#N/A</v>
      </c>
      <c r="H25" s="282" t="e">
        <f>IF(H53="",NA(),SUM($D53:H53))</f>
        <v>#N/A</v>
      </c>
      <c r="I25" s="282" t="e">
        <f>IF(I53="",NA(),SUM($D53:I53))</f>
        <v>#N/A</v>
      </c>
      <c r="J25" s="283">
        <f>IF(J53="",NA(),SUM($D53:J53))</f>
        <v>0</v>
      </c>
      <c r="K25" s="281">
        <f ca="1">IF(K53="",NA(),SUM($D53:K53))</f>
        <v>-0.5</v>
      </c>
      <c r="L25" s="282" t="e">
        <f ca="1">IF(L53="",NA(),SUM($D53:L53))</f>
        <v>#N/A</v>
      </c>
      <c r="M25" s="282">
        <f ca="1">IF(M53="",NA(),SUM($D53:M53))</f>
        <v>-7.4</v>
      </c>
      <c r="N25" s="282" t="e">
        <f ca="1">IF(N53="",NA(),SUM($D53:N53))</f>
        <v>#N/A</v>
      </c>
      <c r="O25" s="283" t="e">
        <f ca="1">IF(O53="",NA(),SUM($D53:O53))</f>
        <v>#N/A</v>
      </c>
      <c r="P25" s="281" t="e">
        <f ca="1">IF(P53="",NA(),SUM($D53:P53))</f>
        <v>#N/A</v>
      </c>
      <c r="Q25" s="282" t="e">
        <f ca="1">IF(Q53="",NA(),SUM($D53:Q53))</f>
        <v>#N/A</v>
      </c>
      <c r="R25" s="282" t="e">
        <f ca="1">IF(R53="",NA(),SUM($D53:R53))</f>
        <v>#N/A</v>
      </c>
      <c r="S25" s="283" t="e">
        <f ca="1">IF(S53="",NA(),SUM($D53:S53))</f>
        <v>#N/A</v>
      </c>
      <c r="T25" s="281" t="e">
        <f ca="1">IF(T53="",NA(),SUM($D53:T53))</f>
        <v>#N/A</v>
      </c>
      <c r="U25" s="282">
        <f ca="1">IF(U53="",NA(),SUM($D53:U53))</f>
        <v>-9.6999999999999993</v>
      </c>
      <c r="V25" s="282" t="e">
        <f ca="1">IF(V53="",NA(),SUM($D53:V53))</f>
        <v>#N/A</v>
      </c>
      <c r="W25" s="283" t="e">
        <f ca="1">IF(W53="",NA(),SUM($D53:W53))</f>
        <v>#N/A</v>
      </c>
      <c r="X25" s="281" t="e">
        <f ca="1">IF(X53="",NA(),SUM($D53:X53))</f>
        <v>#N/A</v>
      </c>
      <c r="Y25" s="282" t="e">
        <f ca="1">IF(Y53="",NA(),SUM($D53:Y53))</f>
        <v>#N/A</v>
      </c>
      <c r="Z25" s="282" t="e">
        <f ca="1">IF(Z53="",NA(),SUM($D53:Z53))</f>
        <v>#N/A</v>
      </c>
      <c r="AA25" s="282">
        <f ca="1">IF(AA53="",NA(),SUM($D53:AA53))</f>
        <v>-7.7999999999999989</v>
      </c>
      <c r="AB25" s="283" t="e">
        <f ca="1">IF(AB53="",NA(),SUM($D53:AB53))</f>
        <v>#N/A</v>
      </c>
      <c r="AC25" s="281" t="e">
        <f ca="1">IF(AC53="",NA(),SUM($D53:AC53))</f>
        <v>#N/A</v>
      </c>
      <c r="AD25" s="282" t="e">
        <f ca="1">IF(AD53="",NA(),SUM($D53:AD53))</f>
        <v>#N/A</v>
      </c>
      <c r="AE25" s="282" t="e">
        <f ca="1">IF(AE53="",NA(),SUM($D53:AE53))</f>
        <v>#N/A</v>
      </c>
      <c r="AF25" s="282" t="e">
        <f ca="1">IF(AF53="",NA(),SUM($D53:AF53))</f>
        <v>#N/A</v>
      </c>
      <c r="AG25" s="283" t="e">
        <f ca="1">IF(AG53="",NA(),SUM($D53:AG53))</f>
        <v>#N/A</v>
      </c>
      <c r="AH25" s="281" t="e">
        <f ca="1">IF(AH53="",NA(),SUM($D53:AH53))</f>
        <v>#N/A</v>
      </c>
      <c r="AI25" s="282">
        <f ca="1">IF(AI53="",NA(),SUM($D53:AI53))</f>
        <v>-21.4</v>
      </c>
      <c r="AJ25" s="282" t="e">
        <f ca="1">IF(AJ53="",NA(),SUM($D53:AJ53))</f>
        <v>#N/A</v>
      </c>
      <c r="AK25" s="282" t="e">
        <f ca="1">IF(AK53="",NA(),SUM($D53:AK53))</f>
        <v>#N/A</v>
      </c>
      <c r="AL25" s="283" t="e">
        <f ca="1">IF(AL53="",NA(),SUM($D53:AL53))</f>
        <v>#N/A</v>
      </c>
      <c r="AM25" s="281" t="e">
        <f ca="1">IF(AM53="",NA(),SUM($D53:AM53))</f>
        <v>#N/A</v>
      </c>
      <c r="AN25" s="282" t="e">
        <f ca="1">IF(AN53="",NA(),SUM($D53:AN53))</f>
        <v>#N/A</v>
      </c>
      <c r="AO25" s="282">
        <f ca="1">IF(AO53="",NA(),SUM($D53:AO53))</f>
        <v>-19.599999999999998</v>
      </c>
      <c r="AP25" s="282" t="e">
        <f ca="1">IF(AP53="",NA(),SUM($D53:AP53))</f>
        <v>#N/A</v>
      </c>
      <c r="AQ25" s="283" t="e">
        <f ca="1">IF(AQ53="",NA(),SUM($D53:AQ53))</f>
        <v>#N/A</v>
      </c>
      <c r="AR25" s="281" t="e">
        <f ca="1">IF(AR53="",NA(),SUM($D53:AR53))</f>
        <v>#N/A</v>
      </c>
      <c r="AS25" s="282" t="e">
        <f ca="1">IF(AS53="",NA(),SUM($D53:AS53))</f>
        <v>#N/A</v>
      </c>
      <c r="AT25" s="282" t="e">
        <f ca="1">IF(AT53="",NA(),SUM($D53:AT53))</f>
        <v>#N/A</v>
      </c>
      <c r="AU25" s="282">
        <f ca="1">IF(AU53="",NA(),SUM($D53:AU53))</f>
        <v>-21.999999999999996</v>
      </c>
      <c r="AV25" s="544" t="e">
        <f ca="1">IF(AV53="",NA(),SUM($D53:AV53))</f>
        <v>#N/A</v>
      </c>
      <c r="AW25" s="552" t="e">
        <f ca="1">IF(AW53="",NA(),SUM($D53:AW53))</f>
        <v>#N/A</v>
      </c>
      <c r="AX25" s="282" t="e">
        <f ca="1">IF(AX53="",NA(),SUM($D53:AX53))</f>
        <v>#N/A</v>
      </c>
      <c r="AY25" s="475" t="e">
        <f ca="1">IF(AY53="",NA(),SUM($D53:AY53))</f>
        <v>#N/A</v>
      </c>
      <c r="AZ25" s="282">
        <f ca="1">IF(AZ53="",NA(),SUM($D53:AZ53))</f>
        <v>-24.89999999999679</v>
      </c>
      <c r="BA25" s="283" t="e">
        <f ca="1">IF(BA53="",NA(),SUM($D53:BA53))</f>
        <v>#N/A</v>
      </c>
      <c r="BB25" s="642" t="e">
        <f ca="1">IF(BB53="",NA(),SUM($D53:BB53))</f>
        <v>#N/A</v>
      </c>
    </row>
    <row r="26" spans="1:54">
      <c r="A26" s="606">
        <v>4598</v>
      </c>
      <c r="B26" s="301" t="s">
        <v>1159</v>
      </c>
      <c r="C26" s="298" t="str">
        <f ca="1">INDIRECT(ADDRESS(MATCH(A26,【全期間】成果表実測値!$B:$B,0),5,4,TRUE,"【閲覧用】成果表"))</f>
        <v>コインランドリー前</v>
      </c>
      <c r="D26" s="295" t="e">
        <f>IF(D54="",NA(),D54)</f>
        <v>#N/A</v>
      </c>
      <c r="E26" s="281" t="e">
        <f>IF(E54="",NA(),SUM($D54:E54))</f>
        <v>#N/A</v>
      </c>
      <c r="F26" s="282">
        <f>IF(F54="",NA(),SUM($D54:F54))</f>
        <v>0</v>
      </c>
      <c r="G26" s="282">
        <f ca="1">IF(G54="",NA(),SUM($D54:G54))</f>
        <v>2.6</v>
      </c>
      <c r="H26" s="282">
        <f ca="1">IF(H54="",NA(),SUM($D54:H54))</f>
        <v>5.9</v>
      </c>
      <c r="I26" s="282">
        <f ca="1">IF(I54="",NA(),SUM($D54:I54))</f>
        <v>-5.7999999999999989</v>
      </c>
      <c r="J26" s="283">
        <f ca="1">IF(J54="",NA(),SUM($D54:J54))</f>
        <v>-10.799999999999999</v>
      </c>
      <c r="K26" s="281">
        <f ca="1">IF(K54="",NA(),SUM($D54:K54))</f>
        <v>-23.7</v>
      </c>
      <c r="L26" s="282" t="e">
        <f ca="1">IF(L54="",NA(),SUM($D54:L54))</f>
        <v>#N/A</v>
      </c>
      <c r="M26" s="282">
        <f ca="1">IF(M54="",NA(),SUM($D54:M54))</f>
        <v>-28.4</v>
      </c>
      <c r="N26" s="282" t="e">
        <f ca="1">IF(N54="",NA(),SUM($D54:N54))</f>
        <v>#N/A</v>
      </c>
      <c r="O26" s="283" t="e">
        <f ca="1">IF(O54="",NA(),SUM($D54:O54))</f>
        <v>#N/A</v>
      </c>
      <c r="P26" s="281" t="e">
        <f ca="1">IF(P54="",NA(),SUM($D54:P54))</f>
        <v>#N/A</v>
      </c>
      <c r="Q26" s="282" t="e">
        <f ca="1">IF(Q54="",NA(),SUM($D54:Q54))</f>
        <v>#N/A</v>
      </c>
      <c r="R26" s="282" t="e">
        <f ca="1">IF(R54="",NA(),SUM($D54:R54))</f>
        <v>#N/A</v>
      </c>
      <c r="S26" s="283" t="e">
        <f ca="1">IF(S54="",NA(),SUM($D54:S54))</f>
        <v>#N/A</v>
      </c>
      <c r="T26" s="281" t="e">
        <f ca="1">IF(T54="",NA(),SUM($D54:T54))</f>
        <v>#N/A</v>
      </c>
      <c r="U26" s="282">
        <f ca="1">IF(U54="",NA(),SUM($D54:U54))</f>
        <v>-50.099999999999994</v>
      </c>
      <c r="V26" s="282" t="e">
        <f ca="1">IF(V54="",NA(),SUM($D54:V54))</f>
        <v>#N/A</v>
      </c>
      <c r="W26" s="283" t="e">
        <f ca="1">IF(W54="",NA(),SUM($D54:W54))</f>
        <v>#N/A</v>
      </c>
      <c r="X26" s="281">
        <f ca="1">IF(X54="",NA(),SUM($D54:X54))</f>
        <v>-59.999999999999993</v>
      </c>
      <c r="Y26" s="282" t="e">
        <f ca="1">IF(Y54="",NA(),SUM($D54:Y54))</f>
        <v>#N/A</v>
      </c>
      <c r="Z26" s="282" t="e">
        <f ca="1">IF(Z54="",NA(),SUM($D54:Z54))</f>
        <v>#N/A</v>
      </c>
      <c r="AA26" s="282">
        <f ca="1">IF(AA54="",NA(),SUM($D54:AA54))</f>
        <v>-67.399999999999991</v>
      </c>
      <c r="AB26" s="283" t="e">
        <f ca="1">IF(AB54="",NA(),SUM($D54:AB54))</f>
        <v>#N/A</v>
      </c>
      <c r="AC26" s="281" t="e">
        <f ca="1">IF(AC54="",NA(),SUM($D54:AC54))</f>
        <v>#N/A</v>
      </c>
      <c r="AD26" s="282" t="e">
        <f ca="1">IF(AD54="",NA(),SUM($D54:AD54))</f>
        <v>#N/A</v>
      </c>
      <c r="AE26" s="282" t="e">
        <f ca="1">IF(AE54="",NA(),SUM($D54:AE54))</f>
        <v>#N/A</v>
      </c>
      <c r="AF26" s="282" t="e">
        <f ca="1">IF(AF54="",NA(),SUM($D54:AF54))</f>
        <v>#N/A</v>
      </c>
      <c r="AG26" s="283" t="e">
        <f ca="1">IF(AG54="",NA(),SUM($D54:AG54))</f>
        <v>#N/A</v>
      </c>
      <c r="AH26" s="281" t="e">
        <f ca="1">IF(AH54="",NA(),SUM($D54:AH54))</f>
        <v>#N/A</v>
      </c>
      <c r="AI26" s="282">
        <f ca="1">IF(AI54="",NA(),SUM($D54:AI54))</f>
        <v>-97.299999999999983</v>
      </c>
      <c r="AJ26" s="282" t="e">
        <f ca="1">IF(AJ54="",NA(),SUM($D54:AJ54))</f>
        <v>#N/A</v>
      </c>
      <c r="AK26" s="282" t="e">
        <f ca="1">IF(AK54="",NA(),SUM($D54:AK54))</f>
        <v>#N/A</v>
      </c>
      <c r="AL26" s="283" t="e">
        <f ca="1">IF(AL54="",NA(),SUM($D54:AL54))</f>
        <v>#N/A</v>
      </c>
      <c r="AM26" s="281" t="e">
        <f ca="1">IF(AM54="",NA(),SUM($D54:AM54))</f>
        <v>#N/A</v>
      </c>
      <c r="AN26" s="282">
        <f ca="1">IF(AN54="",NA(),SUM($D54:AN54))</f>
        <v>-100.49999999999999</v>
      </c>
      <c r="AO26" s="282" t="e">
        <f ca="1">IF(AO54="",NA(),SUM($D54:AO54))</f>
        <v>#N/A</v>
      </c>
      <c r="AP26" s="282" t="e">
        <f ca="1">IF(AP54="",NA(),SUM($D54:AP54))</f>
        <v>#N/A</v>
      </c>
      <c r="AQ26" s="283" t="e">
        <f ca="1">IF(AQ54="",NA(),SUM($D54:AQ54))</f>
        <v>#N/A</v>
      </c>
      <c r="AR26" s="281" t="e">
        <f ca="1">IF(AR54="",NA(),SUM($D54:AR54))</f>
        <v>#N/A</v>
      </c>
      <c r="AS26" s="282" t="e">
        <f ca="1">IF(AS54="",NA(),SUM($D54:AS54))</f>
        <v>#N/A</v>
      </c>
      <c r="AT26" s="282">
        <f ca="1">IF(AT54="",NA(),SUM($D54:AT54))</f>
        <v>-109.39999999999999</v>
      </c>
      <c r="AU26" s="282" t="e">
        <f ca="1">IF(AU54="",NA(),SUM($D54:AU54))</f>
        <v>#N/A</v>
      </c>
      <c r="AV26" s="544" t="e">
        <f ca="1">IF(AV54="",NA(),SUM($D54:AV54))</f>
        <v>#N/A</v>
      </c>
      <c r="AW26" s="552" t="e">
        <f ca="1">IF(AW54="",NA(),SUM($D54:AW54))</f>
        <v>#N/A</v>
      </c>
      <c r="AX26" s="282" t="e">
        <f ca="1">IF(AX54="",NA(),SUM($D54:AX54))</f>
        <v>#N/A</v>
      </c>
      <c r="AY26" s="475">
        <f ca="1">IF(AY54="",NA(),SUM($D54:AY54))</f>
        <v>-112.69999999999585</v>
      </c>
      <c r="AZ26" s="282" t="e">
        <f ca="1">IF(AZ54="",NA(),SUM($D54:AZ54))</f>
        <v>#N/A</v>
      </c>
      <c r="BA26" s="283" t="e">
        <f ca="1">IF(BA54="",NA(),SUM($D54:BA54))</f>
        <v>#N/A</v>
      </c>
      <c r="BB26" s="642" t="e">
        <f ca="1">IF(BB54="",NA(),SUM($D54:BB54))</f>
        <v>#N/A</v>
      </c>
    </row>
    <row r="27" spans="1:54" ht="17.25" thickBot="1">
      <c r="A27" s="302" t="s">
        <v>504</v>
      </c>
      <c r="B27" s="303" t="s">
        <v>1160</v>
      </c>
      <c r="C27" s="299" t="str">
        <f ca="1">INDIRECT(ADDRESS(MATCH(A27,【全期間】成果表実測値!$B:$B,0),5,4,TRUE,"【閲覧用】成果表"))</f>
        <v>信濃公園</v>
      </c>
      <c r="D27" s="296" t="e">
        <f>IF(D55="",NA(),D55)</f>
        <v>#N/A</v>
      </c>
      <c r="E27" s="286" t="e">
        <f>IF(E55="",NA(),SUM($D55:E55))</f>
        <v>#N/A</v>
      </c>
      <c r="F27" s="287" t="e">
        <f>IF(F55="",NA(),SUM($D55:F55))</f>
        <v>#N/A</v>
      </c>
      <c r="G27" s="287">
        <f>IF(G55="",NA(),SUM($D55:G55))</f>
        <v>0</v>
      </c>
      <c r="H27" s="287">
        <f ca="1">IF(H55="",NA(),SUM($D55:H55))</f>
        <v>5.4</v>
      </c>
      <c r="I27" s="287">
        <f ca="1">IF(I55="",NA(),SUM($D55:I55))</f>
        <v>-9.6999999999999993</v>
      </c>
      <c r="J27" s="288">
        <f ca="1">IF(J55="",NA(),SUM($D55:J55))</f>
        <v>-11.6</v>
      </c>
      <c r="K27" s="286">
        <f ca="1">IF(K55="",NA(),SUM($D55:K55))</f>
        <v>-27.1</v>
      </c>
      <c r="L27" s="287">
        <f ca="1">IF(L55="",NA(),SUM($D55:L55))</f>
        <v>-23.900000000000002</v>
      </c>
      <c r="M27" s="287">
        <f ca="1">IF(M55="",NA(),SUM($D55:M55))</f>
        <v>-23.700000000000003</v>
      </c>
      <c r="N27" s="287" t="e">
        <f ca="1">IF(N55="",NA(),SUM($D55:N55))</f>
        <v>#N/A</v>
      </c>
      <c r="O27" s="288">
        <f ca="1">IF(O55="",NA(),SUM($D55:O55))</f>
        <v>-23.200000000000003</v>
      </c>
      <c r="P27" s="286" t="e">
        <f ca="1">IF(P55="",NA(),SUM($D55:P55))</f>
        <v>#N/A</v>
      </c>
      <c r="Q27" s="287" t="e">
        <f ca="1">IF(Q55="",NA(),SUM($D55:Q55))</f>
        <v>#N/A</v>
      </c>
      <c r="R27" s="287" t="e">
        <f ca="1">IF(R55="",NA(),SUM($D55:R55))</f>
        <v>#N/A</v>
      </c>
      <c r="S27" s="288" t="e">
        <f ca="1">IF(S55="",NA(),SUM($D55:S55))</f>
        <v>#N/A</v>
      </c>
      <c r="T27" s="286" t="e">
        <f ca="1">IF(T55="",NA(),SUM($D55:T55))</f>
        <v>#N/A</v>
      </c>
      <c r="U27" s="287">
        <f ca="1">IF(U55="",NA(),SUM($D55:U55))</f>
        <v>-48.2</v>
      </c>
      <c r="V27" s="287" t="e">
        <f ca="1">IF(V55="",NA(),SUM($D55:V55))</f>
        <v>#N/A</v>
      </c>
      <c r="W27" s="288" t="e">
        <f ca="1">IF(W55="",NA(),SUM($D55:W55))</f>
        <v>#N/A</v>
      </c>
      <c r="X27" s="286">
        <f ca="1">IF(X55="",NA(),SUM($D55:X55))</f>
        <v>-61</v>
      </c>
      <c r="Y27" s="287" t="e">
        <f ca="1">IF(Y55="",NA(),SUM($D55:Y55))</f>
        <v>#N/A</v>
      </c>
      <c r="Z27" s="287" t="e">
        <f ca="1">IF(Z55="",NA(),SUM($D55:Z55))</f>
        <v>#N/A</v>
      </c>
      <c r="AA27" s="287">
        <f ca="1">IF(AA55="",NA(),SUM($D55:AA55))</f>
        <v>-67.900000000000006</v>
      </c>
      <c r="AB27" s="288" t="e">
        <f ca="1">IF(AB55="",NA(),SUM($D55:AB55))</f>
        <v>#N/A</v>
      </c>
      <c r="AC27" s="286" t="e">
        <f ca="1">IF(AC55="",NA(),SUM($D55:AC55))</f>
        <v>#N/A</v>
      </c>
      <c r="AD27" s="287" t="e">
        <f ca="1">IF(AD55="",NA(),SUM($D55:AD55))</f>
        <v>#N/A</v>
      </c>
      <c r="AE27" s="287" t="e">
        <f ca="1">IF(AE55="",NA(),SUM($D55:AE55))</f>
        <v>#N/A</v>
      </c>
      <c r="AF27" s="287" t="e">
        <f ca="1">IF(AF55="",NA(),SUM($D55:AF55))</f>
        <v>#N/A</v>
      </c>
      <c r="AG27" s="288" t="e">
        <f ca="1">IF(AG55="",NA(),SUM($D55:AG55))</f>
        <v>#N/A</v>
      </c>
      <c r="AH27" s="286" t="e">
        <f ca="1">IF(AH55="",NA(),SUM($D55:AH55))</f>
        <v>#N/A</v>
      </c>
      <c r="AI27" s="287">
        <f ca="1">IF(AI55="",NA(),SUM($D55:AI55))</f>
        <v>-92.9</v>
      </c>
      <c r="AJ27" s="287" t="e">
        <f ca="1">IF(AJ55="",NA(),SUM($D55:AJ55))</f>
        <v>#N/A</v>
      </c>
      <c r="AK27" s="287" t="e">
        <f ca="1">IF(AK55="",NA(),SUM($D55:AK55))</f>
        <v>#N/A</v>
      </c>
      <c r="AL27" s="288" t="e">
        <f ca="1">IF(AL55="",NA(),SUM($D55:AL55))</f>
        <v>#N/A</v>
      </c>
      <c r="AM27" s="286" t="e">
        <f ca="1">IF(AM55="",NA(),SUM($D55:AM55))</f>
        <v>#N/A</v>
      </c>
      <c r="AN27" s="287">
        <f ca="1">IF(AN55="",NA(),SUM($D55:AN55))</f>
        <v>-94.2</v>
      </c>
      <c r="AO27" s="287" t="e">
        <f ca="1">IF(AO55="",NA(),SUM($D55:AO55))</f>
        <v>#N/A</v>
      </c>
      <c r="AP27" s="287" t="e">
        <f ca="1">IF(AP55="",NA(),SUM($D55:AP55))</f>
        <v>#N/A</v>
      </c>
      <c r="AQ27" s="288" t="e">
        <f ca="1">IF(AQ55="",NA(),SUM($D55:AQ55))</f>
        <v>#N/A</v>
      </c>
      <c r="AR27" s="286">
        <f ca="1">IF(AR55="",NA(),SUM($D55:AR55))</f>
        <v>-97.9</v>
      </c>
      <c r="AS27" s="287" t="e">
        <f ca="1">IF(AS55="",NA(),SUM($D55:AS55))</f>
        <v>#N/A</v>
      </c>
      <c r="AT27" s="287">
        <f ca="1">IF(AT55="",NA(),SUM($D55:AT55))</f>
        <v>-96.600000000000009</v>
      </c>
      <c r="AU27" s="287" t="e">
        <f ca="1">IF(AU55="",NA(),SUM($D55:AU55))</f>
        <v>#N/A</v>
      </c>
      <c r="AV27" s="545" t="e">
        <f ca="1">IF(AV55="",NA(),SUM($D55:AV55))</f>
        <v>#N/A</v>
      </c>
      <c r="AW27" s="553">
        <f ca="1">IF(AW55="",NA(),SUM($D55:AW55))</f>
        <v>-98.5999999999989</v>
      </c>
      <c r="AX27" s="287" t="e">
        <f ca="1">IF(AX55="",NA(),SUM($D55:AX55))</f>
        <v>#N/A</v>
      </c>
      <c r="AY27" s="549">
        <f ca="1">IF(AY55="",NA(),SUM($D55:AY55))</f>
        <v>-99.300000000000821</v>
      </c>
      <c r="AZ27" s="287" t="e">
        <f ca="1">IF(AZ55="",NA(),SUM($D55:AZ55))</f>
        <v>#N/A</v>
      </c>
      <c r="BA27" s="288">
        <f ca="1">IF(BA55="",NA(),SUM($D55:BA55))</f>
        <v>-99.899999999999423</v>
      </c>
      <c r="BB27" s="646" t="e">
        <f ca="1">IF(BB55="",NA(),SUM($D55:BB55))</f>
        <v>#N/A</v>
      </c>
    </row>
    <row r="28" spans="1:54">
      <c r="A28" s="268"/>
      <c r="B28" s="269"/>
      <c r="C28" s="269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4"/>
      <c r="AB28" s="264"/>
      <c r="AC28" s="264"/>
      <c r="AD28" s="264"/>
      <c r="AE28" s="264"/>
      <c r="AF28" s="264"/>
      <c r="AG28" s="264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64"/>
      <c r="AT28" s="264"/>
      <c r="AU28" s="264"/>
      <c r="AV28" s="264"/>
      <c r="AW28" s="264"/>
      <c r="AX28" s="264"/>
      <c r="AY28" s="264"/>
      <c r="AZ28" s="264"/>
      <c r="BA28" s="264"/>
      <c r="BB28" s="264"/>
    </row>
    <row r="29" spans="1:54" s="293" customFormat="1" ht="21.95" customHeight="1" thickBot="1">
      <c r="A29" s="289" t="s">
        <v>1166</v>
      </c>
      <c r="B29" s="290"/>
      <c r="C29" s="290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1"/>
      <c r="AV29" s="291"/>
      <c r="AW29" s="547"/>
      <c r="AX29" s="547"/>
      <c r="AY29" s="291"/>
      <c r="AZ29" s="291"/>
      <c r="BA29" s="291"/>
      <c r="BB29" s="291"/>
    </row>
    <row r="30" spans="1:54" s="313" customFormat="1">
      <c r="A30" s="726" t="s">
        <v>1165</v>
      </c>
      <c r="B30" s="724" t="s">
        <v>1162</v>
      </c>
      <c r="C30" s="722" t="s">
        <v>1109</v>
      </c>
      <c r="D30" s="312" t="str">
        <f>D3</f>
        <v>S48</v>
      </c>
      <c r="E30" s="314" t="str">
        <f t="shared" ref="E30:AX30" si="0">E3</f>
        <v>S49</v>
      </c>
      <c r="F30" s="315" t="str">
        <f t="shared" si="0"/>
        <v>S50</v>
      </c>
      <c r="G30" s="315" t="str">
        <f t="shared" si="0"/>
        <v>S51</v>
      </c>
      <c r="H30" s="315" t="str">
        <f t="shared" si="0"/>
        <v>S52</v>
      </c>
      <c r="I30" s="315" t="str">
        <f t="shared" si="0"/>
        <v>S53</v>
      </c>
      <c r="J30" s="316" t="str">
        <f t="shared" si="0"/>
        <v>S54</v>
      </c>
      <c r="K30" s="314" t="str">
        <f t="shared" si="0"/>
        <v>S55</v>
      </c>
      <c r="L30" s="315" t="str">
        <f t="shared" si="0"/>
        <v>S56</v>
      </c>
      <c r="M30" s="315" t="str">
        <f t="shared" si="0"/>
        <v>S57</v>
      </c>
      <c r="N30" s="315" t="str">
        <f t="shared" si="0"/>
        <v>S58</v>
      </c>
      <c r="O30" s="316" t="str">
        <f t="shared" si="0"/>
        <v>S59</v>
      </c>
      <c r="P30" s="314" t="str">
        <f t="shared" si="0"/>
        <v>S60</v>
      </c>
      <c r="Q30" s="315" t="str">
        <f t="shared" si="0"/>
        <v>S61</v>
      </c>
      <c r="R30" s="315" t="str">
        <f t="shared" si="0"/>
        <v>S62</v>
      </c>
      <c r="S30" s="316" t="str">
        <f t="shared" si="0"/>
        <v>S63</v>
      </c>
      <c r="T30" s="314" t="str">
        <f t="shared" si="0"/>
        <v>H1</v>
      </c>
      <c r="U30" s="315" t="str">
        <f t="shared" si="0"/>
        <v>H2</v>
      </c>
      <c r="V30" s="315" t="str">
        <f t="shared" si="0"/>
        <v>H3</v>
      </c>
      <c r="W30" s="316" t="str">
        <f t="shared" si="0"/>
        <v>H4</v>
      </c>
      <c r="X30" s="314" t="str">
        <f t="shared" si="0"/>
        <v>H5</v>
      </c>
      <c r="Y30" s="315" t="str">
        <f t="shared" si="0"/>
        <v>H6</v>
      </c>
      <c r="Z30" s="315" t="str">
        <f t="shared" si="0"/>
        <v>H7</v>
      </c>
      <c r="AA30" s="315" t="str">
        <f t="shared" si="0"/>
        <v>H8</v>
      </c>
      <c r="AB30" s="316" t="str">
        <f t="shared" si="0"/>
        <v>H9</v>
      </c>
      <c r="AC30" s="314" t="str">
        <f t="shared" si="0"/>
        <v>H10</v>
      </c>
      <c r="AD30" s="315" t="str">
        <f t="shared" si="0"/>
        <v>H11</v>
      </c>
      <c r="AE30" s="315" t="str">
        <f t="shared" si="0"/>
        <v>H12</v>
      </c>
      <c r="AF30" s="315" t="str">
        <f t="shared" si="0"/>
        <v>H13</v>
      </c>
      <c r="AG30" s="316" t="str">
        <f t="shared" si="0"/>
        <v>H14</v>
      </c>
      <c r="AH30" s="314" t="str">
        <f t="shared" si="0"/>
        <v>H15</v>
      </c>
      <c r="AI30" s="315" t="str">
        <f t="shared" si="0"/>
        <v>H16</v>
      </c>
      <c r="AJ30" s="315" t="str">
        <f t="shared" si="0"/>
        <v>H17</v>
      </c>
      <c r="AK30" s="315" t="str">
        <f t="shared" si="0"/>
        <v>H18</v>
      </c>
      <c r="AL30" s="316" t="str">
        <f t="shared" si="0"/>
        <v>H19</v>
      </c>
      <c r="AM30" s="314" t="str">
        <f t="shared" si="0"/>
        <v>H20</v>
      </c>
      <c r="AN30" s="315" t="str">
        <f t="shared" si="0"/>
        <v>H21</v>
      </c>
      <c r="AO30" s="315" t="str">
        <f t="shared" si="0"/>
        <v>H22</v>
      </c>
      <c r="AP30" s="315" t="str">
        <f t="shared" si="0"/>
        <v>H23</v>
      </c>
      <c r="AQ30" s="316" t="str">
        <f t="shared" si="0"/>
        <v>H24</v>
      </c>
      <c r="AR30" s="314" t="str">
        <f t="shared" si="0"/>
        <v>H25</v>
      </c>
      <c r="AS30" s="315" t="str">
        <f t="shared" si="0"/>
        <v>H26</v>
      </c>
      <c r="AT30" s="315" t="str">
        <f t="shared" si="0"/>
        <v>H27</v>
      </c>
      <c r="AU30" s="315" t="str">
        <f t="shared" si="0"/>
        <v>H28</v>
      </c>
      <c r="AV30" s="546" t="str">
        <f t="shared" si="0"/>
        <v>H29</v>
      </c>
      <c r="AW30" s="550" t="str">
        <f t="shared" ref="AW30" si="1">AW3</f>
        <v>H30</v>
      </c>
      <c r="AX30" s="275" t="str">
        <f t="shared" si="0"/>
        <v>R1</v>
      </c>
      <c r="AY30" s="548" t="str">
        <f t="shared" ref="AY30:AZ30" si="2">AY3</f>
        <v>R2</v>
      </c>
      <c r="AZ30" s="275" t="str">
        <f t="shared" si="2"/>
        <v>R3</v>
      </c>
      <c r="BA30" s="276" t="str">
        <f t="shared" ref="BA30" si="3">BA3</f>
        <v>R4</v>
      </c>
      <c r="BB30" s="640" t="str">
        <f>BB3</f>
        <v>R5</v>
      </c>
    </row>
    <row r="31" spans="1:54" s="317" customFormat="1" ht="15">
      <c r="A31" s="727"/>
      <c r="B31" s="725"/>
      <c r="C31" s="723"/>
      <c r="D31" s="318"/>
      <c r="E31" s="309">
        <v>12</v>
      </c>
      <c r="F31" s="310">
        <f>E31+1</f>
        <v>13</v>
      </c>
      <c r="G31" s="310">
        <f t="shared" ref="G31:AV31" si="4">F31+1</f>
        <v>14</v>
      </c>
      <c r="H31" s="310">
        <f t="shared" si="4"/>
        <v>15</v>
      </c>
      <c r="I31" s="310">
        <f t="shared" si="4"/>
        <v>16</v>
      </c>
      <c r="J31" s="311">
        <f t="shared" si="4"/>
        <v>17</v>
      </c>
      <c r="K31" s="309">
        <f t="shared" si="4"/>
        <v>18</v>
      </c>
      <c r="L31" s="310">
        <f t="shared" si="4"/>
        <v>19</v>
      </c>
      <c r="M31" s="310">
        <f t="shared" si="4"/>
        <v>20</v>
      </c>
      <c r="N31" s="310">
        <f t="shared" si="4"/>
        <v>21</v>
      </c>
      <c r="O31" s="311">
        <f t="shared" si="4"/>
        <v>22</v>
      </c>
      <c r="P31" s="309">
        <f t="shared" si="4"/>
        <v>23</v>
      </c>
      <c r="Q31" s="310">
        <f t="shared" si="4"/>
        <v>24</v>
      </c>
      <c r="R31" s="310">
        <f t="shared" si="4"/>
        <v>25</v>
      </c>
      <c r="S31" s="311">
        <f t="shared" si="4"/>
        <v>26</v>
      </c>
      <c r="T31" s="309">
        <f t="shared" si="4"/>
        <v>27</v>
      </c>
      <c r="U31" s="310">
        <f t="shared" si="4"/>
        <v>28</v>
      </c>
      <c r="V31" s="310">
        <f t="shared" si="4"/>
        <v>29</v>
      </c>
      <c r="W31" s="311">
        <f t="shared" si="4"/>
        <v>30</v>
      </c>
      <c r="X31" s="309">
        <f t="shared" si="4"/>
        <v>31</v>
      </c>
      <c r="Y31" s="310">
        <f t="shared" si="4"/>
        <v>32</v>
      </c>
      <c r="Z31" s="310">
        <f t="shared" si="4"/>
        <v>33</v>
      </c>
      <c r="AA31" s="310">
        <f t="shared" si="4"/>
        <v>34</v>
      </c>
      <c r="AB31" s="311">
        <f t="shared" si="4"/>
        <v>35</v>
      </c>
      <c r="AC31" s="309">
        <f t="shared" si="4"/>
        <v>36</v>
      </c>
      <c r="AD31" s="310">
        <f t="shared" si="4"/>
        <v>37</v>
      </c>
      <c r="AE31" s="310">
        <f t="shared" si="4"/>
        <v>38</v>
      </c>
      <c r="AF31" s="310">
        <f t="shared" si="4"/>
        <v>39</v>
      </c>
      <c r="AG31" s="311">
        <f t="shared" si="4"/>
        <v>40</v>
      </c>
      <c r="AH31" s="309">
        <f t="shared" si="4"/>
        <v>41</v>
      </c>
      <c r="AI31" s="310">
        <f t="shared" si="4"/>
        <v>42</v>
      </c>
      <c r="AJ31" s="310">
        <f t="shared" si="4"/>
        <v>43</v>
      </c>
      <c r="AK31" s="310">
        <f t="shared" si="4"/>
        <v>44</v>
      </c>
      <c r="AL31" s="311">
        <f t="shared" si="4"/>
        <v>45</v>
      </c>
      <c r="AM31" s="309">
        <f t="shared" si="4"/>
        <v>46</v>
      </c>
      <c r="AN31" s="310">
        <f t="shared" si="4"/>
        <v>47</v>
      </c>
      <c r="AO31" s="310">
        <f t="shared" si="4"/>
        <v>48</v>
      </c>
      <c r="AP31" s="310">
        <f t="shared" si="4"/>
        <v>49</v>
      </c>
      <c r="AQ31" s="311">
        <f t="shared" si="4"/>
        <v>50</v>
      </c>
      <c r="AR31" s="309">
        <f t="shared" si="4"/>
        <v>51</v>
      </c>
      <c r="AS31" s="310">
        <f t="shared" si="4"/>
        <v>52</v>
      </c>
      <c r="AT31" s="310">
        <f t="shared" si="4"/>
        <v>53</v>
      </c>
      <c r="AU31" s="310">
        <f t="shared" si="4"/>
        <v>54</v>
      </c>
      <c r="AV31" s="543">
        <f t="shared" si="4"/>
        <v>55</v>
      </c>
      <c r="AW31" s="551">
        <v>56</v>
      </c>
      <c r="AX31" s="310">
        <v>57</v>
      </c>
      <c r="AY31" s="543">
        <v>58</v>
      </c>
      <c r="AZ31" s="575">
        <v>59</v>
      </c>
      <c r="BA31" s="643">
        <v>60</v>
      </c>
      <c r="BB31" s="641">
        <v>61</v>
      </c>
    </row>
    <row r="32" spans="1:54">
      <c r="A32" s="304" t="str">
        <f t="shared" ref="A32:A50" si="5">A4</f>
        <v>低地西部</v>
      </c>
      <c r="B32" s="262"/>
      <c r="C32" s="297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644"/>
      <c r="BB32" s="285"/>
    </row>
    <row r="33" spans="1:54">
      <c r="A33" s="279" t="str">
        <f>A5</f>
        <v>73-06</v>
      </c>
      <c r="B33" s="263" t="str">
        <f t="shared" ref="B33:C37" si="6">B5</f>
        <v>１.東)北42条東10丁目</v>
      </c>
      <c r="C33" s="298" t="str">
        <f t="shared" ca="1" si="6"/>
        <v>栄小学校</v>
      </c>
      <c r="D33" s="397"/>
      <c r="E33" s="398"/>
      <c r="F33" s="320">
        <v>0</v>
      </c>
      <c r="G33" s="282">
        <f ca="1">IFERROR(IF(INDIRECT(ADDRESS(MATCH($A33,【全期間】成果表実測値!$B:$B,0),G$31,4,TRUE,"【全期間】成果表実測値"))="","",-INDIRECT(ADDRESS(MATCH($A33,【全期間】成果表実測値!$B:$B,0),G$31,4,TRUE,"【全期間】成果表実測値"))),"")</f>
        <v>-19.399999999999999</v>
      </c>
      <c r="H33" s="282">
        <f ca="1">IFERROR(IF(INDIRECT(ADDRESS(MATCH($A33,【全期間】成果表実測値!$B:$B,0),H$31,4,TRUE,"【全期間】成果表実測値"))="","",-INDIRECT(ADDRESS(MATCH($A33,【全期間】成果表実測値!$B:$B,0),H$31,4,TRUE,"【全期間】成果表実測値"))),"")</f>
        <v>-19</v>
      </c>
      <c r="I33" s="282">
        <f ca="1">IFERROR(IF(INDIRECT(ADDRESS(MATCH($A33,【全期間】成果表実測値!$B:$B,0),I$31,4,TRUE,"【全期間】成果表実測値"))="","",-INDIRECT(ADDRESS(MATCH($A33,【全期間】成果表実測値!$B:$B,0),I$31,4,TRUE,"【全期間】成果表実測値"))),"")</f>
        <v>-29.6</v>
      </c>
      <c r="J33" s="283">
        <f ca="1">IFERROR(IF(INDIRECT(ADDRESS(MATCH($A33,【全期間】成果表実測値!$B:$B,0),J$31,4,TRUE,"【全期間】成果表実測値"))="","",-INDIRECT(ADDRESS(MATCH($A33,【全期間】成果表実測値!$B:$B,0),J$31,4,TRUE,"【全期間】成果表実測値"))),"")</f>
        <v>-29.7</v>
      </c>
      <c r="K33" s="281">
        <f ca="1">IFERROR(IF(INDIRECT(ADDRESS(MATCH($A33,【全期間】成果表実測値!$B:$B,0),K$31,4,TRUE,"【全期間】成果表実測値"))="","",-INDIRECT(ADDRESS(MATCH($A33,【全期間】成果表実測値!$B:$B,0),K$31,4,TRUE,"【全期間】成果表実測値"))),"")</f>
        <v>-14.8</v>
      </c>
      <c r="L33" s="282">
        <f ca="1">IFERROR(IF(INDIRECT(ADDRESS(MATCH($A33,【全期間】成果表実測値!$B:$B,0),L$31,4,TRUE,"【全期間】成果表実測値"))="","",-INDIRECT(ADDRESS(MATCH($A33,【全期間】成果表実測値!$B:$B,0),L$31,4,TRUE,"【全期間】成果表実測値"))),"")</f>
        <v>-1.3</v>
      </c>
      <c r="M33" s="282">
        <f ca="1">IFERROR(IF(INDIRECT(ADDRESS(MATCH($A33,【全期間】成果表実測値!$B:$B,0),M$31,4,TRUE,"【全期間】成果表実測値"))="","",-INDIRECT(ADDRESS(MATCH($A33,【全期間】成果表実測値!$B:$B,0),M$31,4,TRUE,"【全期間】成果表実測値"))),"")</f>
        <v>-14.6</v>
      </c>
      <c r="N33" s="282">
        <f ca="1">IFERROR(IF(INDIRECT(ADDRESS(MATCH($A33,【全期間】成果表実測値!$B:$B,0),N$31,4,TRUE,"【全期間】成果表実測値"))="","",-INDIRECT(ADDRESS(MATCH($A33,【全期間】成果表実測値!$B:$B,0),N$31,4,TRUE,"【全期間】成果表実測値"))),"")</f>
        <v>-5.0999999999999996</v>
      </c>
      <c r="O33" s="283">
        <f ca="1">IFERROR(IF(INDIRECT(ADDRESS(MATCH($A33,【全期間】成果表実測値!$B:$B,0),O$31,4,TRUE,"【全期間】成果表実測値"))="","",-INDIRECT(ADDRESS(MATCH($A33,【全期間】成果表実測値!$B:$B,0),O$31,4,TRUE,"【全期間】成果表実測値"))),"")</f>
        <v>-35.6</v>
      </c>
      <c r="P33" s="281" t="str">
        <f ca="1">IFERROR(IF(INDIRECT(ADDRESS(MATCH($A33,【全期間】成果表実測値!$B:$B,0),P$31,4,TRUE,"【全期間】成果表実測値"))="","",-INDIRECT(ADDRESS(MATCH($A33,【全期間】成果表実測値!$B:$B,0),P$31,4,TRUE,"【全期間】成果表実測値"))),"")</f>
        <v/>
      </c>
      <c r="Q33" s="282">
        <f ca="1">IFERROR(IF(INDIRECT(ADDRESS(MATCH($A33,【全期間】成果表実測値!$B:$B,0),Q$31,4,TRUE,"【全期間】成果表実測値"))="","",-INDIRECT(ADDRESS(MATCH($A33,【全期間】成果表実測値!$B:$B,0),Q$31,4,TRUE,"【全期間】成果表実測値"))),"")</f>
        <v>-47.6</v>
      </c>
      <c r="R33" s="282">
        <f ca="1">IFERROR(IF(INDIRECT(ADDRESS(MATCH($A33,【全期間】成果表実測値!$B:$B,0),R$31,4,TRUE,"【全期間】成果表実測値"))="","",-INDIRECT(ADDRESS(MATCH($A33,【全期間】成果表実測値!$B:$B,0),R$31,4,TRUE,"【全期間】成果表実測値"))),"")</f>
        <v>-12</v>
      </c>
      <c r="S33" s="283">
        <f ca="1">IFERROR(IF(INDIRECT(ADDRESS(MATCH($A33,【全期間】成果表実測値!$B:$B,0),S$31,4,TRUE,"【全期間】成果表実測値"))="","",-INDIRECT(ADDRESS(MATCH($A33,【全期間】成果表実測値!$B:$B,0),S$31,4,TRUE,"【全期間】成果表実測値"))),"")</f>
        <v>-1.5</v>
      </c>
      <c r="T33" s="281">
        <f ca="1">IFERROR(IF(INDIRECT(ADDRESS(MATCH($A33,【全期間】成果表実測値!$B:$B,0),T$31,4,TRUE,"【全期間】成果表実測値"))="","",-INDIRECT(ADDRESS(MATCH($A33,【全期間】成果表実測値!$B:$B,0),T$31,4,TRUE,"【全期間】成果表実測値"))),"")</f>
        <v>-14.4</v>
      </c>
      <c r="U33" s="282">
        <f ca="1">IFERROR(IF(INDIRECT(ADDRESS(MATCH($A33,【全期間】成果表実測値!$B:$B,0),U$31,4,TRUE,"【全期間】成果表実測値"))="","",-INDIRECT(ADDRESS(MATCH($A33,【全期間】成果表実測値!$B:$B,0),U$31,4,TRUE,"【全期間】成果表実測値"))),"")</f>
        <v>-5.8</v>
      </c>
      <c r="V33" s="282">
        <f ca="1">IFERROR(IF(INDIRECT(ADDRESS(MATCH($A33,【全期間】成果表実測値!$B:$B,0),V$31,4,TRUE,"【全期間】成果表実測値"))="","",-INDIRECT(ADDRESS(MATCH($A33,【全期間】成果表実測値!$B:$B,0),V$31,4,TRUE,"【全期間】成果表実測値"))),"")</f>
        <v>-18.2</v>
      </c>
      <c r="W33" s="283">
        <f ca="1">IFERROR(IF(INDIRECT(ADDRESS(MATCH($A33,【全期間】成果表実測値!$B:$B,0),W$31,4,TRUE,"【全期間】成果表実測値"))="","",-INDIRECT(ADDRESS(MATCH($A33,【全期間】成果表実測値!$B:$B,0),W$31,4,TRUE,"【全期間】成果表実測値"))),"")</f>
        <v>-2.4</v>
      </c>
      <c r="X33" s="281">
        <f ca="1">IFERROR(IF(INDIRECT(ADDRESS(MATCH($A33,【全期間】成果表実測値!$B:$B,0),X$31,4,TRUE,"【全期間】成果表実測値"))="","",-INDIRECT(ADDRESS(MATCH($A33,【全期間】成果表実測値!$B:$B,0),X$31,4,TRUE,"【全期間】成果表実測値"))),"")</f>
        <v>-0.7</v>
      </c>
      <c r="Y33" s="282">
        <f ca="1">IFERROR(IF(INDIRECT(ADDRESS(MATCH($A33,【全期間】成果表実測値!$B:$B,0),Y$31,4,TRUE,"【全期間】成果表実測値"))="","",-INDIRECT(ADDRESS(MATCH($A33,【全期間】成果表実測値!$B:$B,0),Y$31,4,TRUE,"【全期間】成果表実測値"))),"")</f>
        <v>-9.6</v>
      </c>
      <c r="Z33" s="282">
        <f ca="1">IFERROR(IF(INDIRECT(ADDRESS(MATCH($A33,【全期間】成果表実測値!$B:$B,0),Z$31,4,TRUE,"【全期間】成果表実測値"))="","",-INDIRECT(ADDRESS(MATCH($A33,【全期間】成果表実測値!$B:$B,0),Z$31,4,TRUE,"【全期間】成果表実測値"))),"")</f>
        <v>-6.9</v>
      </c>
      <c r="AA33" s="282">
        <f ca="1">IFERROR(IF(INDIRECT(ADDRESS(MATCH($A33,【全期間】成果表実測値!$B:$B,0),AA$31,4,TRUE,"【全期間】成果表実測値"))="","",-INDIRECT(ADDRESS(MATCH($A33,【全期間】成果表実測値!$B:$B,0),AA$31,4,TRUE,"【全期間】成果表実測値"))),"")</f>
        <v>-2.8</v>
      </c>
      <c r="AB33" s="283">
        <f ca="1">IFERROR(IF(INDIRECT(ADDRESS(MATCH($A33,【全期間】成果表実測値!$B:$B,0),AB$31,4,TRUE,"【全期間】成果表実測値"))="","",-INDIRECT(ADDRESS(MATCH($A33,【全期間】成果表実測値!$B:$B,0),AB$31,4,TRUE,"【全期間】成果表実測値"))),"")</f>
        <v>-11.4</v>
      </c>
      <c r="AC33" s="281">
        <f ca="1">IFERROR(IF(INDIRECT(ADDRESS(MATCH($A33,【全期間】成果表実測値!$B:$B,0),AC$31,4,TRUE,"【全期間】成果表実測値"))="","",-INDIRECT(ADDRESS(MATCH($A33,【全期間】成果表実測値!$B:$B,0),AC$31,4,TRUE,"【全期間】成果表実測値"))),"")</f>
        <v>-2.2999999999999998</v>
      </c>
      <c r="AD33" s="282">
        <f ca="1">IFERROR(IF(INDIRECT(ADDRESS(MATCH($A33,【全期間】成果表実測値!$B:$B,0),AD$31,4,TRUE,"【全期間】成果表実測値"))="","",-INDIRECT(ADDRESS(MATCH($A33,【全期間】成果表実測値!$B:$B,0),AD$31,4,TRUE,"【全期間】成果表実測値"))),"")</f>
        <v>-2.8</v>
      </c>
      <c r="AE33" s="282">
        <f ca="1">IFERROR(IF(INDIRECT(ADDRESS(MATCH($A33,【全期間】成果表実測値!$B:$B,0),AE$31,4,TRUE,"【全期間】成果表実測値"))="","",-INDIRECT(ADDRESS(MATCH($A33,【全期間】成果表実測値!$B:$B,0),AE$31,4,TRUE,"【全期間】成果表実測値"))),"")</f>
        <v>-5.5</v>
      </c>
      <c r="AF33" s="282">
        <f ca="1">IFERROR(IF(INDIRECT(ADDRESS(MATCH($A33,【全期間】成果表実測値!$B:$B,0),AF$31,4,TRUE,"【全期間】成果表実測値"))="","",-INDIRECT(ADDRESS(MATCH($A33,【全期間】成果表実測値!$B:$B,0),AF$31,4,TRUE,"【全期間】成果表実測値"))),"")</f>
        <v>-7.2000000000000997</v>
      </c>
      <c r="AG33" s="283">
        <f ca="1">IFERROR(IF(INDIRECT(ADDRESS(MATCH($A33,【全期間】成果表実測値!$B:$B,0),AG$31,4,TRUE,"【全期間】成果表実測値"))="","",-INDIRECT(ADDRESS(MATCH($A33,【全期間】成果表実測値!$B:$B,0),AG$31,4,TRUE,"【全期間】成果表実測値"))),"")</f>
        <v>5.7</v>
      </c>
      <c r="AH33" s="281">
        <f ca="1">IFERROR(IF(INDIRECT(ADDRESS(MATCH($A33,【全期間】成果表実測値!$B:$B,0),AH$31,4,TRUE,"【全期間】成果表実測値"))="","",-INDIRECT(ADDRESS(MATCH($A33,【全期間】成果表実測値!$B:$B,0),AH$31,4,TRUE,"【全期間】成果表実測値"))),"")</f>
        <v>-8.8000000000000007</v>
      </c>
      <c r="AI33" s="282">
        <f ca="1">IFERROR(IF(INDIRECT(ADDRESS(MATCH($A33,【全期間】成果表実測値!$B:$B,0),AI$31,4,TRUE,"【全期間】成果表実測値"))="","",-INDIRECT(ADDRESS(MATCH($A33,【全期間】成果表実測値!$B:$B,0),AI$31,4,TRUE,"【全期間】成果表実測値"))),"")</f>
        <v>-5.8</v>
      </c>
      <c r="AJ33" s="282">
        <f ca="1">IFERROR(IF(INDIRECT(ADDRESS(MATCH($A33,【全期間】成果表実測値!$B:$B,0),AJ$31,4,TRUE,"【全期間】成果表実測値"))="","",-INDIRECT(ADDRESS(MATCH($A33,【全期間】成果表実測値!$B:$B,0),AJ$31,4,TRUE,"【全期間】成果表実測値"))),"")</f>
        <v>-2.4</v>
      </c>
      <c r="AK33" s="282">
        <f ca="1">IFERROR(IF(INDIRECT(ADDRESS(MATCH($A33,【全期間】成果表実測値!$B:$B,0),AK$31,4,TRUE,"【全期間】成果表実測値"))="","",-INDIRECT(ADDRESS(MATCH($A33,【全期間】成果表実測値!$B:$B,0),AK$31,4,TRUE,"【全期間】成果表実測値"))),"")</f>
        <v>-1.3</v>
      </c>
      <c r="AL33" s="283">
        <f ca="1">IFERROR(IF(INDIRECT(ADDRESS(MATCH($A33,【全期間】成果表実測値!$B:$B,0),AL$31,4,TRUE,"【全期間】成果表実測値"))="","",-INDIRECT(ADDRESS(MATCH($A33,【全期間】成果表実測値!$B:$B,0),AL$31,4,TRUE,"【全期間】成果表実測値"))),"")</f>
        <v>-2.1</v>
      </c>
      <c r="AM33" s="281" t="str">
        <f ca="1">IFERROR(IF(INDIRECT(ADDRESS(MATCH($A33,【全期間】成果表実測値!$B:$B,0),AM$31,4,TRUE,"【全期間】成果表実測値"))="","",-INDIRECT(ADDRESS(MATCH($A33,【全期間】成果表実測値!$B:$B,0),AM$31,4,TRUE,"【全期間】成果表実測値"))),"")</f>
        <v/>
      </c>
      <c r="AN33" s="282" t="str">
        <f ca="1">IFERROR(IF(INDIRECT(ADDRESS(MATCH($A33,【全期間】成果表実測値!$B:$B,0),AN$31,4,TRUE,"【全期間】成果表実測値"))="","",-INDIRECT(ADDRESS(MATCH($A33,【全期間】成果表実測値!$B:$B,0),AN$31,4,TRUE,"【全期間】成果表実測値"))),"")</f>
        <v/>
      </c>
      <c r="AO33" s="282" t="str">
        <f ca="1">IFERROR(IF(INDIRECT(ADDRESS(MATCH($A33,【全期間】成果表実測値!$B:$B,0),AO$31,4,TRUE,"【全期間】成果表実測値"))="","",-INDIRECT(ADDRESS(MATCH($A33,【全期間】成果表実測値!$B:$B,0),AO$31,4,TRUE,"【全期間】成果表実測値"))),"")</f>
        <v/>
      </c>
      <c r="AP33" s="282">
        <f ca="1">IFERROR(IF(INDIRECT(ADDRESS(MATCH($A33,【全期間】成果表実測値!$B:$B,0),AP$31,4,TRUE,"【全期間】成果表実測値"))="","",-INDIRECT(ADDRESS(MATCH($A33,【全期間】成果表実測値!$B:$B,0),AP$31,4,TRUE,"【全期間】成果表実測値"))),"")</f>
        <v>-5.9</v>
      </c>
      <c r="AQ33" s="283">
        <f ca="1">IFERROR(IF(INDIRECT(ADDRESS(MATCH($A33,【全期間】成果表実測値!$B:$B,0),AQ$31,4,TRUE,"【全期間】成果表実測値"))="","",-INDIRECT(ADDRESS(MATCH($A33,【全期間】成果表実測値!$B:$B,0),AQ$31,4,TRUE,"【全期間】成果表実測値"))),"")</f>
        <v>-7.5</v>
      </c>
      <c r="AR33" s="281" t="str">
        <f ca="1">IFERROR(IF(INDIRECT(ADDRESS(MATCH($A33,【全期間】成果表実測値!$B:$B,0),AR$31,4,TRUE,"【全期間】成果表実測値"))="","",-INDIRECT(ADDRESS(MATCH($A33,【全期間】成果表実測値!$B:$B,0),AR$31,4,TRUE,"【全期間】成果表実測値"))),"")</f>
        <v/>
      </c>
      <c r="AS33" s="282">
        <f ca="1">IFERROR(IF(INDIRECT(ADDRESS(MATCH($A33,【全期間】成果表実測値!$B:$B,0),AS$31,4,TRUE,"【全期間】成果表実測値"))="","",-INDIRECT(ADDRESS(MATCH($A33,【全期間】成果表実測値!$B:$B,0),AS$31,4,TRUE,"【全期間】成果表実測値"))),"")</f>
        <v>2</v>
      </c>
      <c r="AT33" s="282" t="str">
        <f ca="1">IFERROR(IF(INDIRECT(ADDRESS(MATCH($A33,【全期間】成果表実測値!$B:$B,0),AT$31,4,TRUE,"【全期間】成果表実測値"))="","",-INDIRECT(ADDRESS(MATCH($A33,【全期間】成果表実測値!$B:$B,0),AT$31,4,TRUE,"【全期間】成果表実測値"))),"")</f>
        <v/>
      </c>
      <c r="AU33" s="282" t="str">
        <f ca="1">IFERROR(IF(INDIRECT(ADDRESS(MATCH($A33,【全期間】成果表実測値!$B:$B,0),AU$31,4,TRUE,"【全期間】成果表実測値"))="","",-INDIRECT(ADDRESS(MATCH($A33,【全期間】成果表実測値!$B:$B,0),AU$31,4,TRUE,"【全期間】成果表実測値"))),"")</f>
        <v/>
      </c>
      <c r="AV33" s="544">
        <f ca="1">IFERROR(IF(INDIRECT(ADDRESS(MATCH($A33,【全期間】成果表実測値!$B:$B,0),AV$31,4,TRUE,"【全期間】成果表実測値"))="","",-INDIRECT(ADDRESS(MATCH($A33,【全期間】成果表実測値!$B:$B,0),AV$31,4,TRUE,"【全期間】成果表実測値"))),"")</f>
        <v>-1.6</v>
      </c>
      <c r="AW33" s="552" t="str">
        <f ca="1">IFERROR(IF(INDIRECT(ADDRESS(MATCH($A33,【全期間】成果表実測値!$B:$B,0),AW$31,4,TRUE,"【全期間】成果表実測値"))="","",-INDIRECT(ADDRESS(MATCH($A33,【全期間】成果表実測値!$B:$B,0),AW$31,4,TRUE,"【全期間】成果表実測値"))),"")</f>
        <v/>
      </c>
      <c r="AX33" s="282">
        <f ca="1">IFERROR(IF(INDIRECT(ADDRESS(MATCH($A33,【全期間】成果表実測値!$B:$B,0),AX$31,4,TRUE,"【全期間】成果表実測値"))="","",-INDIRECT(ADDRESS(MATCH($A33,【全期間】成果表実測値!$B:$B,0),AX$31,4,TRUE,"【全期間】成果表実測値"))),"")</f>
        <v>-5.7999999999998053</v>
      </c>
      <c r="AY33" s="475" t="str">
        <f ca="1">IFERROR(IF(INDIRECT(ADDRESS(MATCH($A33,【全期間】成果表実測値!$B:$B,0),AY$31,4,TRUE,"【全期間】成果表実測値"))="","",-INDIRECT(ADDRESS(MATCH($A33,【全期間】成果表実測値!$B:$B,0),AY$31,4,TRUE,"【全期間】成果表実測値"))),"")</f>
        <v/>
      </c>
      <c r="AZ33" s="282" t="str">
        <f ca="1">IFERROR(IF(INDIRECT(ADDRESS(MATCH($A33,【全期間】成果表実測値!$B:$B,0),AZ$31,4,TRUE,"【全期間】成果表実測値"))="","",-INDIRECT(ADDRESS(MATCH($A33,【全期間】成果表実測値!$B:$B,0),AZ$31,4,TRUE,"【全期間】成果表実測値"))),"")</f>
        <v/>
      </c>
      <c r="BA33" s="283">
        <f ca="1">IFERROR(IF(INDIRECT(ADDRESS(MATCH($A33,【全期間】成果表実測値!$B:$B,0),BA$31,4,TRUE,"【全期間】成果表実測値"))="","",-INDIRECT(ADDRESS(MATCH($A33,【全期間】成果表実測値!$B:$B,0),BA$31,4,TRUE,"【全期間】成果表実測値"))),"")</f>
        <v>-6.5999999999997172</v>
      </c>
      <c r="BB33" s="642" t="str">
        <f ca="1">IFERROR(IF(INDIRECT(ADDRESS(MATCH($A33,【全期間】成果表実測値!$B:$B,0),BB$31,4,TRUE,"【全期間】成果表実測値"))="","",-INDIRECT(ADDRESS(MATCH($A33,【全期間】成果表実測値!$B:$B,0),BB$31,4,TRUE,"【全期間】成果表実測値"))),"")</f>
        <v/>
      </c>
    </row>
    <row r="34" spans="1:54">
      <c r="A34" s="305" t="str">
        <f t="shared" si="5"/>
        <v>73-17</v>
      </c>
      <c r="B34" s="263" t="str">
        <f t="shared" si="6"/>
        <v>２.東)北33条東2丁目</v>
      </c>
      <c r="C34" s="298" t="str">
        <f t="shared" ca="1" si="6"/>
        <v>北栄中学校</v>
      </c>
      <c r="D34" s="319">
        <v>0</v>
      </c>
      <c r="E34" s="281">
        <f ca="1">IFERROR(IF(INDIRECT(ADDRESS(MATCH($A34,【全期間】成果表実測値!$B:$B,0),E$31,4,TRUE,"【全期間】成果表実測値"))="","",-INDIRECT(ADDRESS(MATCH($A34,【全期間】成果表実測値!$B:$B,0),E$31,4,TRUE,"【全期間】成果表実測値"))),"")</f>
        <v>-32.700000000000003</v>
      </c>
      <c r="F34" s="282">
        <f ca="1">IFERROR(IF(INDIRECT(ADDRESS(MATCH($A34,【全期間】成果表実測値!$B:$B,0),F$31,4,TRUE,"【全期間】成果表実測値"))="","",-INDIRECT(ADDRESS(MATCH($A34,【全期間】成果表実測値!$B:$B,0),F$31,4,TRUE,"【全期間】成果表実測値"))),"")</f>
        <v>-35.1</v>
      </c>
      <c r="G34" s="282">
        <f ca="1">IFERROR(IF(INDIRECT(ADDRESS(MATCH($A34,【全期間】成果表実測値!$B:$B,0),G$31,4,TRUE,"【全期間】成果表実測値"))="","",-INDIRECT(ADDRESS(MATCH($A34,【全期間】成果表実測値!$B:$B,0),G$31,4,TRUE,"【全期間】成果表実測値"))),"")</f>
        <v>-39.799999999999997</v>
      </c>
      <c r="H34" s="282">
        <f ca="1">IFERROR(IF(INDIRECT(ADDRESS(MATCH($A34,【全期間】成果表実測値!$B:$B,0),H$31,4,TRUE,"【全期間】成果表実測値"))="","",-INDIRECT(ADDRESS(MATCH($A34,【全期間】成果表実測値!$B:$B,0),H$31,4,TRUE,"【全期間】成果表実測値"))),"")</f>
        <v>9.3000000000000007</v>
      </c>
      <c r="I34" s="282">
        <f ca="1">IFERROR(IF(INDIRECT(ADDRESS(MATCH($A34,【全期間】成果表実測値!$B:$B,0),I$31,4,TRUE,"【全期間】成果表実測値"))="","",-INDIRECT(ADDRESS(MATCH($A34,【全期間】成果表実測値!$B:$B,0),I$31,4,TRUE,"【全期間】成果表実測値"))),"")</f>
        <v>-13.9</v>
      </c>
      <c r="J34" s="283">
        <f ca="1">IFERROR(IF(INDIRECT(ADDRESS(MATCH($A34,【全期間】成果表実測値!$B:$B,0),J$31,4,TRUE,"【全期間】成果表実測値"))="","",-INDIRECT(ADDRESS(MATCH($A34,【全期間】成果表実測値!$B:$B,0),J$31,4,TRUE,"【全期間】成果表実測値"))),"")</f>
        <v>-53.5</v>
      </c>
      <c r="K34" s="281">
        <f ca="1">IFERROR(IF(INDIRECT(ADDRESS(MATCH($A34,【全期間】成果表実測値!$B:$B,0),K$31,4,TRUE,"【全期間】成果表実測値"))="","",-INDIRECT(ADDRESS(MATCH($A34,【全期間】成果表実測値!$B:$B,0),K$31,4,TRUE,"【全期間】成果表実測値"))),"")</f>
        <v>-20.100000000000001</v>
      </c>
      <c r="L34" s="282">
        <f ca="1">IFERROR(IF(INDIRECT(ADDRESS(MATCH($A34,【全期間】成果表実測値!$B:$B,0),L$31,4,TRUE,"【全期間】成果表実測値"))="","",-INDIRECT(ADDRESS(MATCH($A34,【全期間】成果表実測値!$B:$B,0),L$31,4,TRUE,"【全期間】成果表実測値"))),"")</f>
        <v>-2</v>
      </c>
      <c r="M34" s="282">
        <f ca="1">IFERROR(IF(INDIRECT(ADDRESS(MATCH($A34,【全期間】成果表実測値!$B:$B,0),M$31,4,TRUE,"【全期間】成果表実測値"))="","",-INDIRECT(ADDRESS(MATCH($A34,【全期間】成果表実測値!$B:$B,0),M$31,4,TRUE,"【全期間】成果表実測値"))),"")</f>
        <v>-31.2</v>
      </c>
      <c r="N34" s="282">
        <f ca="1">IFERROR(IF(INDIRECT(ADDRESS(MATCH($A34,【全期間】成果表実測値!$B:$B,0),N$31,4,TRUE,"【全期間】成果表実測値"))="","",-INDIRECT(ADDRESS(MATCH($A34,【全期間】成果表実測値!$B:$B,0),N$31,4,TRUE,"【全期間】成果表実測値"))),"")</f>
        <v>-28.1</v>
      </c>
      <c r="O34" s="283">
        <f ca="1">IFERROR(IF(INDIRECT(ADDRESS(MATCH($A34,【全期間】成果表実測値!$B:$B,0),O$31,4,TRUE,"【全期間】成果表実測値"))="","",-INDIRECT(ADDRESS(MATCH($A34,【全期間】成果表実測値!$B:$B,0),O$31,4,TRUE,"【全期間】成果表実測値"))),"")</f>
        <v>-83.9</v>
      </c>
      <c r="P34" s="281">
        <f ca="1">IFERROR(IF(INDIRECT(ADDRESS(MATCH($A34,【全期間】成果表実測値!$B:$B,0),P$31,4,TRUE,"【全期間】成果表実測値"))="","",-INDIRECT(ADDRESS(MATCH($A34,【全期間】成果表実測値!$B:$B,0),P$31,4,TRUE,"【全期間】成果表実測値"))),"")</f>
        <v>-46.3</v>
      </c>
      <c r="Q34" s="282">
        <f ca="1">IFERROR(IF(INDIRECT(ADDRESS(MATCH($A34,【全期間】成果表実測値!$B:$B,0),Q$31,4,TRUE,"【全期間】成果表実測値"))="","",-INDIRECT(ADDRESS(MATCH($A34,【全期間】成果表実測値!$B:$B,0),Q$31,4,TRUE,"【全期間】成果表実測値"))),"")</f>
        <v>-9.4</v>
      </c>
      <c r="R34" s="282">
        <f ca="1">IFERROR(IF(INDIRECT(ADDRESS(MATCH($A34,【全期間】成果表実測値!$B:$B,0),R$31,4,TRUE,"【全期間】成果表実測値"))="","",-INDIRECT(ADDRESS(MATCH($A34,【全期間】成果表実測値!$B:$B,0),R$31,4,TRUE,"【全期間】成果表実測値"))),"")</f>
        <v>10.8</v>
      </c>
      <c r="S34" s="283">
        <f ca="1">IFERROR(IF(INDIRECT(ADDRESS(MATCH($A34,【全期間】成果表実測値!$B:$B,0),S$31,4,TRUE,"【全期間】成果表実測値"))="","",-INDIRECT(ADDRESS(MATCH($A34,【全期間】成果表実測値!$B:$B,0),S$31,4,TRUE,"【全期間】成果表実測値"))),"")</f>
        <v>-1.3</v>
      </c>
      <c r="T34" s="281">
        <f ca="1">IFERROR(IF(INDIRECT(ADDRESS(MATCH($A34,【全期間】成果表実測値!$B:$B,0),T$31,4,TRUE,"【全期間】成果表実測値"))="","",-INDIRECT(ADDRESS(MATCH($A34,【全期間】成果表実測値!$B:$B,0),T$31,4,TRUE,"【全期間】成果表実測値"))),"")</f>
        <v>-10.5</v>
      </c>
      <c r="U34" s="282">
        <f ca="1">IFERROR(IF(INDIRECT(ADDRESS(MATCH($A34,【全期間】成果表実測値!$B:$B,0),U$31,4,TRUE,"【全期間】成果表実測値"))="","",-INDIRECT(ADDRESS(MATCH($A34,【全期間】成果表実測値!$B:$B,0),U$31,4,TRUE,"【全期間】成果表実測値"))),"")</f>
        <v>2.8</v>
      </c>
      <c r="V34" s="282">
        <f ca="1">IFERROR(IF(INDIRECT(ADDRESS(MATCH($A34,【全期間】成果表実測値!$B:$B,0),V$31,4,TRUE,"【全期間】成果表実測値"))="","",-INDIRECT(ADDRESS(MATCH($A34,【全期間】成果表実測値!$B:$B,0),V$31,4,TRUE,"【全期間】成果表実測値"))),"")</f>
        <v>-9.6999999999999993</v>
      </c>
      <c r="W34" s="283">
        <f ca="1">IFERROR(IF(INDIRECT(ADDRESS(MATCH($A34,【全期間】成果表実測値!$B:$B,0),W$31,4,TRUE,"【全期間】成果表実測値"))="","",-INDIRECT(ADDRESS(MATCH($A34,【全期間】成果表実測値!$B:$B,0),W$31,4,TRUE,"【全期間】成果表実測値"))),"")</f>
        <v>0</v>
      </c>
      <c r="X34" s="281">
        <f ca="1">IFERROR(IF(INDIRECT(ADDRESS(MATCH($A34,【全期間】成果表実測値!$B:$B,0),X$31,4,TRUE,"【全期間】成果表実測値"))="","",-INDIRECT(ADDRESS(MATCH($A34,【全期間】成果表実測値!$B:$B,0),X$31,4,TRUE,"【全期間】成果表実測値"))),"")</f>
        <v>2.6</v>
      </c>
      <c r="Y34" s="282">
        <f ca="1">IFERROR(IF(INDIRECT(ADDRESS(MATCH($A34,【全期間】成果表実測値!$B:$B,0),Y$31,4,TRUE,"【全期間】成果表実測値"))="","",-INDIRECT(ADDRESS(MATCH($A34,【全期間】成果表実測値!$B:$B,0),Y$31,4,TRUE,"【全期間】成果表実測値"))),"")</f>
        <v>-6</v>
      </c>
      <c r="Z34" s="282">
        <f ca="1">IFERROR(IF(INDIRECT(ADDRESS(MATCH($A34,【全期間】成果表実測値!$B:$B,0),Z$31,4,TRUE,"【全期間】成果表実測値"))="","",-INDIRECT(ADDRESS(MATCH($A34,【全期間】成果表実測値!$B:$B,0),Z$31,4,TRUE,"【全期間】成果表実測値"))),"")</f>
        <v>-6.6</v>
      </c>
      <c r="AA34" s="282">
        <f ca="1">IFERROR(IF(INDIRECT(ADDRESS(MATCH($A34,【全期間】成果表実測値!$B:$B,0),AA$31,4,TRUE,"【全期間】成果表実測値"))="","",-INDIRECT(ADDRESS(MATCH($A34,【全期間】成果表実測値!$B:$B,0),AA$31,4,TRUE,"【全期間】成果表実測値"))),"")</f>
        <v>2.6</v>
      </c>
      <c r="AB34" s="283">
        <f ca="1">IFERROR(IF(INDIRECT(ADDRESS(MATCH($A34,【全期間】成果表実測値!$B:$B,0),AB$31,4,TRUE,"【全期間】成果表実測値"))="","",-INDIRECT(ADDRESS(MATCH($A34,【全期間】成果表実測値!$B:$B,0),AB$31,4,TRUE,"【全期間】成果表実測値"))),"")</f>
        <v>-10.1</v>
      </c>
      <c r="AC34" s="281">
        <f ca="1">IFERROR(IF(INDIRECT(ADDRESS(MATCH($A34,【全期間】成果表実測値!$B:$B,0),AC$31,4,TRUE,"【全期間】成果表実測値"))="","",-INDIRECT(ADDRESS(MATCH($A34,【全期間】成果表実測値!$B:$B,0),AC$31,4,TRUE,"【全期間】成果表実測値"))),"")</f>
        <v>-4.7</v>
      </c>
      <c r="AD34" s="282">
        <f ca="1">IFERROR(IF(INDIRECT(ADDRESS(MATCH($A34,【全期間】成果表実測値!$B:$B,0),AD$31,4,TRUE,"【全期間】成果表実測値"))="","",-INDIRECT(ADDRESS(MATCH($A34,【全期間】成果表実測値!$B:$B,0),AD$31,4,TRUE,"【全期間】成果表実測値"))),"")</f>
        <v>0.6</v>
      </c>
      <c r="AE34" s="282">
        <f ca="1">IFERROR(IF(INDIRECT(ADDRESS(MATCH($A34,【全期間】成果表実測値!$B:$B,0),AE$31,4,TRUE,"【全期間】成果表実測値"))="","",-INDIRECT(ADDRESS(MATCH($A34,【全期間】成果表実測値!$B:$B,0),AE$31,4,TRUE,"【全期間】成果表実測値"))),"")</f>
        <v>-2.9</v>
      </c>
      <c r="AF34" s="282">
        <f ca="1">IFERROR(IF(INDIRECT(ADDRESS(MATCH($A34,【全期間】成果表実測値!$B:$B,0),AF$31,4,TRUE,"【全期間】成果表実測値"))="","",-INDIRECT(ADDRESS(MATCH($A34,【全期間】成果表実測値!$B:$B,0),AF$31,4,TRUE,"【全期間】成果表実測値"))),"")</f>
        <v>-7.10000000000033</v>
      </c>
      <c r="AG34" s="283">
        <f ca="1">IFERROR(IF(INDIRECT(ADDRESS(MATCH($A34,【全期間】成果表実測値!$B:$B,0),AG$31,4,TRUE,"【全期間】成果表実測値"))="","",-INDIRECT(ADDRESS(MATCH($A34,【全期間】成果表実測値!$B:$B,0),AG$31,4,TRUE,"【全期間】成果表実測値"))),"")</f>
        <v>4.9000000000000004</v>
      </c>
      <c r="AH34" s="281">
        <f ca="1">IFERROR(IF(INDIRECT(ADDRESS(MATCH($A34,【全期間】成果表実測値!$B:$B,0),AH$31,4,TRUE,"【全期間】成果表実測値"))="","",-INDIRECT(ADDRESS(MATCH($A34,【全期間】成果表実測値!$B:$B,0),AH$31,4,TRUE,"【全期間】成果表実測値"))),"")</f>
        <v>-7.3</v>
      </c>
      <c r="AI34" s="282">
        <f ca="1">IFERROR(IF(INDIRECT(ADDRESS(MATCH($A34,【全期間】成果表実測値!$B:$B,0),AI$31,4,TRUE,"【全期間】成果表実測値"))="","",-INDIRECT(ADDRESS(MATCH($A34,【全期間】成果表実測値!$B:$B,0),AI$31,4,TRUE,"【全期間】成果表実測値"))),"")</f>
        <v>-6.3</v>
      </c>
      <c r="AJ34" s="282">
        <f ca="1">IFERROR(IF(INDIRECT(ADDRESS(MATCH($A34,【全期間】成果表実測値!$B:$B,0),AJ$31,4,TRUE,"【全期間】成果表実測値"))="","",-INDIRECT(ADDRESS(MATCH($A34,【全期間】成果表実測値!$B:$B,0),AJ$31,4,TRUE,"【全期間】成果表実測値"))),"")</f>
        <v>-3.5</v>
      </c>
      <c r="AK34" s="282">
        <f ca="1">IFERROR(IF(INDIRECT(ADDRESS(MATCH($A34,【全期間】成果表実測値!$B:$B,0),AK$31,4,TRUE,"【全期間】成果表実測値"))="","",-INDIRECT(ADDRESS(MATCH($A34,【全期間】成果表実測値!$B:$B,0),AK$31,4,TRUE,"【全期間】成果表実測値"))),"")</f>
        <v>-5.8</v>
      </c>
      <c r="AL34" s="283" t="str">
        <f ca="1">IFERROR(IF(INDIRECT(ADDRESS(MATCH($A34,【全期間】成果表実測値!$B:$B,0),AL$31,4,TRUE,"【全期間】成果表実測値"))="","",-INDIRECT(ADDRESS(MATCH($A34,【全期間】成果表実測値!$B:$B,0),AL$31,4,TRUE,"【全期間】成果表実測値"))),"")</f>
        <v/>
      </c>
      <c r="AM34" s="281" t="str">
        <f ca="1">IFERROR(IF(INDIRECT(ADDRESS(MATCH($A34,【全期間】成果表実測値!$B:$B,0),AM$31,4,TRUE,"【全期間】成果表実測値"))="","",-INDIRECT(ADDRESS(MATCH($A34,【全期間】成果表実測値!$B:$B,0),AM$31,4,TRUE,"【全期間】成果表実測値"))),"")</f>
        <v/>
      </c>
      <c r="AN34" s="282" t="str">
        <f ca="1">IFERROR(IF(INDIRECT(ADDRESS(MATCH($A34,【全期間】成果表実測値!$B:$B,0),AN$31,4,TRUE,"【全期間】成果表実測値"))="","",-INDIRECT(ADDRESS(MATCH($A34,【全期間】成果表実測値!$B:$B,0),AN$31,4,TRUE,"【全期間】成果表実測値"))),"")</f>
        <v/>
      </c>
      <c r="AO34" s="282" t="str">
        <f ca="1">IFERROR(IF(INDIRECT(ADDRESS(MATCH($A34,【全期間】成果表実測値!$B:$B,0),AO$31,4,TRUE,"【全期間】成果表実測値"))="","",-INDIRECT(ADDRESS(MATCH($A34,【全期間】成果表実測値!$B:$B,0),AO$31,4,TRUE,"【全期間】成果表実測値"))),"")</f>
        <v/>
      </c>
      <c r="AP34" s="282">
        <f ca="1">IFERROR(IF(INDIRECT(ADDRESS(MATCH($A34,【全期間】成果表実測値!$B:$B,0),AP$31,4,TRUE,"【全期間】成果表実測値"))="","",-INDIRECT(ADDRESS(MATCH($A34,【全期間】成果表実測値!$B:$B,0),AP$31,4,TRUE,"【全期間】成果表実測値"))),"")</f>
        <v>-14.1</v>
      </c>
      <c r="AQ34" s="283">
        <f ca="1">IFERROR(IF(INDIRECT(ADDRESS(MATCH($A34,【全期間】成果表実測値!$B:$B,0),AQ$31,4,TRUE,"【全期間】成果表実測値"))="","",-INDIRECT(ADDRESS(MATCH($A34,【全期間】成果表実測値!$B:$B,0),AQ$31,4,TRUE,"【全期間】成果表実測値"))),"")</f>
        <v>-6.7</v>
      </c>
      <c r="AR34" s="281">
        <f ca="1">IFERROR(IF(INDIRECT(ADDRESS(MATCH($A34,【全期間】成果表実測値!$B:$B,0),AR$31,4,TRUE,"【全期間】成果表実測値"))="","",-INDIRECT(ADDRESS(MATCH($A34,【全期間】成果表実測値!$B:$B,0),AR$31,4,TRUE,"【全期間】成果表実測値"))),"")</f>
        <v>3.2</v>
      </c>
      <c r="AS34" s="282" t="str">
        <f ca="1">IFERROR(IF(INDIRECT(ADDRESS(MATCH($A34,【全期間】成果表実測値!$B:$B,0),AS$31,4,TRUE,"【全期間】成果表実測値"))="","",-INDIRECT(ADDRESS(MATCH($A34,【全期間】成果表実測値!$B:$B,0),AS$31,4,TRUE,"【全期間】成果表実測値"))),"")</f>
        <v/>
      </c>
      <c r="AT34" s="282" t="str">
        <f ca="1">IFERROR(IF(INDIRECT(ADDRESS(MATCH($A34,【全期間】成果表実測値!$B:$B,0),AT$31,4,TRUE,"【全期間】成果表実測値"))="","",-INDIRECT(ADDRESS(MATCH($A34,【全期間】成果表実測値!$B:$B,0),AT$31,4,TRUE,"【全期間】成果表実測値"))),"")</f>
        <v/>
      </c>
      <c r="AU34" s="282" t="str">
        <f ca="1">IFERROR(IF(INDIRECT(ADDRESS(MATCH($A34,【全期間】成果表実測値!$B:$B,0),AU$31,4,TRUE,"【全期間】成果表実測値"))="","",-INDIRECT(ADDRESS(MATCH($A34,【全期間】成果表実測値!$B:$B,0),AU$31,4,TRUE,"【全期間】成果表実測値"))),"")</f>
        <v/>
      </c>
      <c r="AV34" s="544">
        <f ca="1">IFERROR(IF(INDIRECT(ADDRESS(MATCH($A34,【全期間】成果表実測値!$B:$B,0),AV$31,4,TRUE,"【全期間】成果表実測値"))="","",-INDIRECT(ADDRESS(MATCH($A34,【全期間】成果表実測値!$B:$B,0),AV$31,4,TRUE,"【全期間】成果表実測値"))),"")</f>
        <v>-1.7</v>
      </c>
      <c r="AW34" s="552">
        <f ca="1">IFERROR(IF(INDIRECT(ADDRESS(MATCH($A34,【全期間】成果表実測値!$B:$B,0),AW$31,4,TRUE,"【全期間】成果表実測値"))="","",-INDIRECT(ADDRESS(MATCH($A34,【全期間】成果表実測値!$B:$B,0),AW$31,4,TRUE,"【全期間】成果表実測値"))),"")</f>
        <v>-5.7000000000000384</v>
      </c>
      <c r="AX34" s="282" t="str">
        <f ca="1">IFERROR(IF(INDIRECT(ADDRESS(MATCH($A34,【全期間】成果表実測値!$B:$B,0),AX$31,4,TRUE,"【全期間】成果表実測値"))="","",-INDIRECT(ADDRESS(MATCH($A34,【全期間】成果表実測値!$B:$B,0),AX$31,4,TRUE,"【全期間】成果表実測値"))),"")</f>
        <v/>
      </c>
      <c r="AY34" s="475" t="str">
        <f ca="1">IFERROR(IF(INDIRECT(ADDRESS(MATCH($A34,【全期間】成果表実測値!$B:$B,0),AY$31,4,TRUE,"【全期間】成果表実測値"))="","",-INDIRECT(ADDRESS(MATCH($A34,【全期間】成果表実測値!$B:$B,0),AY$31,4,TRUE,"【全期間】成果表実測値"))),"")</f>
        <v/>
      </c>
      <c r="AZ34" s="282" t="str">
        <f ca="1">IFERROR(IF(INDIRECT(ADDRESS(MATCH($A34,【全期間】成果表実測値!$B:$B,0),AZ$31,4,TRUE,"【全期間】成果表実測値"))="","",-INDIRECT(ADDRESS(MATCH($A34,【全期間】成果表実測値!$B:$B,0),AZ$31,4,TRUE,"【全期間】成果表実測値"))),"")</f>
        <v/>
      </c>
      <c r="BA34" s="283" t="str">
        <f ca="1">IFERROR(IF(INDIRECT(ADDRESS(MATCH($A34,【全期間】成果表実測値!$B:$B,0),BA$31,4,TRUE,"【全期間】成果表実測値"))="","",-INDIRECT(ADDRESS(MATCH($A34,【全期間】成果表実測値!$B:$B,0),BA$31,4,TRUE,"【全期間】成果表実測値"))),"")</f>
        <v/>
      </c>
      <c r="BB34" s="642" t="str">
        <f ca="1">IFERROR(IF(INDIRECT(ADDRESS(MATCH($A34,【全期間】成果表実測値!$B:$B,0),BB$31,4,TRUE,"【全期間】成果表実測値"))="","",-INDIRECT(ADDRESS(MATCH($A34,【全期間】成果表実測値!$B:$B,0),BB$31,4,TRUE,"【全期間】成果表実測値"))),"")</f>
        <v/>
      </c>
    </row>
    <row r="35" spans="1:54">
      <c r="A35" s="305" t="str">
        <f t="shared" si="5"/>
        <v>地1</v>
      </c>
      <c r="B35" s="263" t="str">
        <f t="shared" si="6"/>
        <v>３.手)新発寒5条4丁目</v>
      </c>
      <c r="C35" s="298" t="str">
        <f t="shared" ca="1" si="6"/>
        <v>新陵東小学校</v>
      </c>
      <c r="D35" s="397"/>
      <c r="E35" s="398"/>
      <c r="F35" s="320">
        <v>0</v>
      </c>
      <c r="G35" s="282">
        <f ca="1">IFERROR(IF(INDIRECT(ADDRESS(MATCH($A35,【全期間】成果表実測値!$B:$B,0),G$31,4,TRUE,"【全期間】成果表実測値"))="","",-INDIRECT(ADDRESS(MATCH($A35,【全期間】成果表実測値!$B:$B,0),G$31,4,TRUE,"【全期間】成果表実測値"))),"")</f>
        <v>-44</v>
      </c>
      <c r="H35" s="282">
        <f ca="1">IFERROR(IF(INDIRECT(ADDRESS(MATCH($A35,【全期間】成果表実測値!$B:$B,0),H$31,4,TRUE,"【全期間】成果表実測値"))="","",-INDIRECT(ADDRESS(MATCH($A35,【全期間】成果表実測値!$B:$B,0),H$31,4,TRUE,"【全期間】成果表実測値"))),"")</f>
        <v>-33.200000000000003</v>
      </c>
      <c r="I35" s="282">
        <f ca="1">IFERROR(IF(INDIRECT(ADDRESS(MATCH($A35,【全期間】成果表実測値!$B:$B,0),I$31,4,TRUE,"【全期間】成果表実測値"))="","",-INDIRECT(ADDRESS(MATCH($A35,【全期間】成果表実測値!$B:$B,0),I$31,4,TRUE,"【全期間】成果表実測値"))),"")</f>
        <v>-22.1</v>
      </c>
      <c r="J35" s="283">
        <f ca="1">IFERROR(IF(INDIRECT(ADDRESS(MATCH($A35,【全期間】成果表実測値!$B:$B,0),J$31,4,TRUE,"【全期間】成果表実測値"))="","",-INDIRECT(ADDRESS(MATCH($A35,【全期間】成果表実測値!$B:$B,0),J$31,4,TRUE,"【全期間】成果表実測値"))),"")</f>
        <v>-41.5</v>
      </c>
      <c r="K35" s="281">
        <f ca="1">IFERROR(IF(INDIRECT(ADDRESS(MATCH($A35,【全期間】成果表実測値!$B:$B,0),K$31,4,TRUE,"【全期間】成果表実測値"))="","",-INDIRECT(ADDRESS(MATCH($A35,【全期間】成果表実測値!$B:$B,0),K$31,4,TRUE,"【全期間】成果表実測値"))),"")</f>
        <v>-19.600000000000001</v>
      </c>
      <c r="L35" s="282">
        <f ca="1">IFERROR(IF(INDIRECT(ADDRESS(MATCH($A35,【全期間】成果表実測値!$B:$B,0),L$31,4,TRUE,"【全期間】成果表実測値"))="","",-INDIRECT(ADDRESS(MATCH($A35,【全期間】成果表実測値!$B:$B,0),L$31,4,TRUE,"【全期間】成果表実測値"))),"")</f>
        <v>1</v>
      </c>
      <c r="M35" s="282" t="str">
        <f ca="1">IFERROR(IF(INDIRECT(ADDRESS(MATCH($A35,【全期間】成果表実測値!$B:$B,0),M$31,4,TRUE,"【全期間】成果表実測値"))="","",-INDIRECT(ADDRESS(MATCH($A35,【全期間】成果表実測値!$B:$B,0),M$31,4,TRUE,"【全期間】成果表実測値"))),"")</f>
        <v/>
      </c>
      <c r="N35" s="282" t="str">
        <f ca="1">IFERROR(IF(INDIRECT(ADDRESS(MATCH($A35,【全期間】成果表実測値!$B:$B,0),N$31,4,TRUE,"【全期間】成果表実測値"))="","",-INDIRECT(ADDRESS(MATCH($A35,【全期間】成果表実測値!$B:$B,0),N$31,4,TRUE,"【全期間】成果表実測値"))),"")</f>
        <v/>
      </c>
      <c r="O35" s="283">
        <f ca="1">IFERROR(IF(INDIRECT(ADDRESS(MATCH($A35,【全期間】成果表実測値!$B:$B,0),O$31,4,TRUE,"【全期間】成果表実測値"))="","",-INDIRECT(ADDRESS(MATCH($A35,【全期間】成果表実測値!$B:$B,0),O$31,4,TRUE,"【全期間】成果表実測値"))),"")</f>
        <v>-97.6</v>
      </c>
      <c r="P35" s="281" t="str">
        <f ca="1">IFERROR(IF(INDIRECT(ADDRESS(MATCH($A35,【全期間】成果表実測値!$B:$B,0),P$31,4,TRUE,"【全期間】成果表実測値"))="","",-INDIRECT(ADDRESS(MATCH($A35,【全期間】成果表実測値!$B:$B,0),P$31,4,TRUE,"【全期間】成果表実測値"))),"")</f>
        <v/>
      </c>
      <c r="Q35" s="282" t="str">
        <f ca="1">IFERROR(IF(INDIRECT(ADDRESS(MATCH($A35,【全期間】成果表実測値!$B:$B,0),Q$31,4,TRUE,"【全期間】成果表実測値"))="","",-INDIRECT(ADDRESS(MATCH($A35,【全期間】成果表実測値!$B:$B,0),Q$31,4,TRUE,"【全期間】成果表実測値"))),"")</f>
        <v/>
      </c>
      <c r="R35" s="282" t="str">
        <f ca="1">IFERROR(IF(INDIRECT(ADDRESS(MATCH($A35,【全期間】成果表実測値!$B:$B,0),R$31,4,TRUE,"【全期間】成果表実測値"))="","",-INDIRECT(ADDRESS(MATCH($A35,【全期間】成果表実測値!$B:$B,0),R$31,4,TRUE,"【全期間】成果表実測値"))),"")</f>
        <v/>
      </c>
      <c r="S35" s="283" t="str">
        <f ca="1">IFERROR(IF(INDIRECT(ADDRESS(MATCH($A35,【全期間】成果表実測値!$B:$B,0),S$31,4,TRUE,"【全期間】成果表実測値"))="","",-INDIRECT(ADDRESS(MATCH($A35,【全期間】成果表実測値!$B:$B,0),S$31,4,TRUE,"【全期間】成果表実測値"))),"")</f>
        <v/>
      </c>
      <c r="T35" s="281" t="str">
        <f ca="1">IFERROR(IF(INDIRECT(ADDRESS(MATCH($A35,【全期間】成果表実測値!$B:$B,0),T$31,4,TRUE,"【全期間】成果表実測値"))="","",-INDIRECT(ADDRESS(MATCH($A35,【全期間】成果表実測値!$B:$B,0),T$31,4,TRUE,"【全期間】成果表実測値"))),"")</f>
        <v/>
      </c>
      <c r="U35" s="282">
        <f ca="1">IFERROR(IF(INDIRECT(ADDRESS(MATCH($A35,【全期間】成果表実測値!$B:$B,0),U$31,4,TRUE,"【全期間】成果表実測値"))="","",-INDIRECT(ADDRESS(MATCH($A35,【全期間】成果表実測値!$B:$B,0),U$31,4,TRUE,"【全期間】成果表実測値"))),"")</f>
        <v>-108.3</v>
      </c>
      <c r="V35" s="282" t="str">
        <f ca="1">IFERROR(IF(INDIRECT(ADDRESS(MATCH($A35,【全期間】成果表実測値!$B:$B,0),V$31,4,TRUE,"【全期間】成果表実測値"))="","",-INDIRECT(ADDRESS(MATCH($A35,【全期間】成果表実測値!$B:$B,0),V$31,4,TRUE,"【全期間】成果表実測値"))),"")</f>
        <v/>
      </c>
      <c r="W35" s="283" t="str">
        <f ca="1">IFERROR(IF(INDIRECT(ADDRESS(MATCH($A35,【全期間】成果表実測値!$B:$B,0),W$31,4,TRUE,"【全期間】成果表実測値"))="","",-INDIRECT(ADDRESS(MATCH($A35,【全期間】成果表実測値!$B:$B,0),W$31,4,TRUE,"【全期間】成果表実測値"))),"")</f>
        <v/>
      </c>
      <c r="X35" s="281" t="str">
        <f ca="1">IFERROR(IF(INDIRECT(ADDRESS(MATCH($A35,【全期間】成果表実測値!$B:$B,0),X$31,4,TRUE,"【全期間】成果表実測値"))="","",-INDIRECT(ADDRESS(MATCH($A35,【全期間】成果表実測値!$B:$B,0),X$31,4,TRUE,"【全期間】成果表実測値"))),"")</f>
        <v/>
      </c>
      <c r="Y35" s="282" t="str">
        <f ca="1">IFERROR(IF(INDIRECT(ADDRESS(MATCH($A35,【全期間】成果表実測値!$B:$B,0),Y$31,4,TRUE,"【全期間】成果表実測値"))="","",-INDIRECT(ADDRESS(MATCH($A35,【全期間】成果表実測値!$B:$B,0),Y$31,4,TRUE,"【全期間】成果表実測値"))),"")</f>
        <v/>
      </c>
      <c r="Z35" s="282" t="str">
        <f ca="1">IFERROR(IF(INDIRECT(ADDRESS(MATCH($A35,【全期間】成果表実測値!$B:$B,0),Z$31,4,TRUE,"【全期間】成果表実測値"))="","",-INDIRECT(ADDRESS(MATCH($A35,【全期間】成果表実測値!$B:$B,0),Z$31,4,TRUE,"【全期間】成果表実測値"))),"")</f>
        <v/>
      </c>
      <c r="AA35" s="282">
        <f ca="1">IFERROR(IF(INDIRECT(ADDRESS(MATCH($A35,【全期間】成果表実測値!$B:$B,0),AA$31,4,TRUE,"【全期間】成果表実測値"))="","",-INDIRECT(ADDRESS(MATCH($A35,【全期間】成果表実測値!$B:$B,0),AA$31,4,TRUE,"【全期間】成果表実測値"))),"")</f>
        <v>-48.3</v>
      </c>
      <c r="AB35" s="283" t="str">
        <f ca="1">IFERROR(IF(INDIRECT(ADDRESS(MATCH($A35,【全期間】成果表実測値!$B:$B,0),AB$31,4,TRUE,"【全期間】成果表実測値"))="","",-INDIRECT(ADDRESS(MATCH($A35,【全期間】成果表実測値!$B:$B,0),AB$31,4,TRUE,"【全期間】成果表実測値"))),"")</f>
        <v/>
      </c>
      <c r="AC35" s="281" t="str">
        <f ca="1">IFERROR(IF(INDIRECT(ADDRESS(MATCH($A35,【全期間】成果表実測値!$B:$B,0),AC$31,4,TRUE,"【全期間】成果表実測値"))="","",-INDIRECT(ADDRESS(MATCH($A35,【全期間】成果表実測値!$B:$B,0),AC$31,4,TRUE,"【全期間】成果表実測値"))),"")</f>
        <v/>
      </c>
      <c r="AD35" s="282" t="str">
        <f ca="1">IFERROR(IF(INDIRECT(ADDRESS(MATCH($A35,【全期間】成果表実測値!$B:$B,0),AD$31,4,TRUE,"【全期間】成果表実測値"))="","",-INDIRECT(ADDRESS(MATCH($A35,【全期間】成果表実測値!$B:$B,0),AD$31,4,TRUE,"【全期間】成果表実測値"))),"")</f>
        <v/>
      </c>
      <c r="AE35" s="282" t="str">
        <f ca="1">IFERROR(IF(INDIRECT(ADDRESS(MATCH($A35,【全期間】成果表実測値!$B:$B,0),AE$31,4,TRUE,"【全期間】成果表実測値"))="","",-INDIRECT(ADDRESS(MATCH($A35,【全期間】成果表実測値!$B:$B,0),AE$31,4,TRUE,"【全期間】成果表実測値"))),"")</f>
        <v/>
      </c>
      <c r="AF35" s="282" t="str">
        <f ca="1">IFERROR(IF(INDIRECT(ADDRESS(MATCH($A35,【全期間】成果表実測値!$B:$B,0),AF$31,4,TRUE,"【全期間】成果表実測値"))="","",-INDIRECT(ADDRESS(MATCH($A35,【全期間】成果表実測値!$B:$B,0),AF$31,4,TRUE,"【全期間】成果表実測値"))),"")</f>
        <v/>
      </c>
      <c r="AG35" s="283">
        <f ca="1">IFERROR(IF(INDIRECT(ADDRESS(MATCH($A35,【全期間】成果表実測値!$B:$B,0),AG$31,4,TRUE,"【全期間】成果表実測値"))="","",-INDIRECT(ADDRESS(MATCH($A35,【全期間】成果表実測値!$B:$B,0),AG$31,4,TRUE,"【全期間】成果表実測値"))),"")</f>
        <v>-45</v>
      </c>
      <c r="AH35" s="281">
        <f ca="1">IFERROR(IF(INDIRECT(ADDRESS(MATCH($A35,【全期間】成果表実測値!$B:$B,0),AH$31,4,TRUE,"【全期間】成果表実測値"))="","",-INDIRECT(ADDRESS(MATCH($A35,【全期間】成果表実測値!$B:$B,0),AH$31,4,TRUE,"【全期間】成果表実測値"))),"")</f>
        <v>-11.8</v>
      </c>
      <c r="AI35" s="282" t="str">
        <f ca="1">IFERROR(IF(INDIRECT(ADDRESS(MATCH($A35,【全期間】成果表実測値!$B:$B,0),AI$31,4,TRUE,"【全期間】成果表実測値"))="","",-INDIRECT(ADDRESS(MATCH($A35,【全期間】成果表実測値!$B:$B,0),AI$31,4,TRUE,"【全期間】成果表実測値"))),"")</f>
        <v/>
      </c>
      <c r="AJ35" s="282">
        <f ca="1">IFERROR(IF(INDIRECT(ADDRESS(MATCH($A35,【全期間】成果表実測値!$B:$B,0),AJ$31,4,TRUE,"【全期間】成果表実測値"))="","",-INDIRECT(ADDRESS(MATCH($A35,【全期間】成果表実測値!$B:$B,0),AJ$31,4,TRUE,"【全期間】成果表実測値"))),"")</f>
        <v>-16.7</v>
      </c>
      <c r="AK35" s="282" t="str">
        <f ca="1">IFERROR(IF(INDIRECT(ADDRESS(MATCH($A35,【全期間】成果表実測値!$B:$B,0),AK$31,4,TRUE,"【全期間】成果表実測値"))="","",-INDIRECT(ADDRESS(MATCH($A35,【全期間】成果表実測値!$B:$B,0),AK$31,4,TRUE,"【全期間】成果表実測値"))),"")</f>
        <v/>
      </c>
      <c r="AL35" s="283" t="str">
        <f ca="1">IFERROR(IF(INDIRECT(ADDRESS(MATCH($A35,【全期間】成果表実測値!$B:$B,0),AL$31,4,TRUE,"【全期間】成果表実測値"))="","",-INDIRECT(ADDRESS(MATCH($A35,【全期間】成果表実測値!$B:$B,0),AL$31,4,TRUE,"【全期間】成果表実測値"))),"")</f>
        <v/>
      </c>
      <c r="AM35" s="281" t="str">
        <f ca="1">IFERROR(IF(INDIRECT(ADDRESS(MATCH($A35,【全期間】成果表実測値!$B:$B,0),AM$31,4,TRUE,"【全期間】成果表実測値"))="","",-INDIRECT(ADDRESS(MATCH($A35,【全期間】成果表実測値!$B:$B,0),AM$31,4,TRUE,"【全期間】成果表実測値"))),"")</f>
        <v/>
      </c>
      <c r="AN35" s="282" t="str">
        <f ca="1">IFERROR(IF(INDIRECT(ADDRESS(MATCH($A35,【全期間】成果表実測値!$B:$B,0),AN$31,4,TRUE,"【全期間】成果表実測値"))="","",-INDIRECT(ADDRESS(MATCH($A35,【全期間】成果表実測値!$B:$B,0),AN$31,4,TRUE,"【全期間】成果表実測値"))),"")</f>
        <v/>
      </c>
      <c r="AO35" s="282" t="str">
        <f ca="1">IFERROR(IF(INDIRECT(ADDRESS(MATCH($A35,【全期間】成果表実測値!$B:$B,0),AO$31,4,TRUE,"【全期間】成果表実測値"))="","",-INDIRECT(ADDRESS(MATCH($A35,【全期間】成果表実測値!$B:$B,0),AO$31,4,TRUE,"【全期間】成果表実測値"))),"")</f>
        <v/>
      </c>
      <c r="AP35" s="282">
        <f ca="1">IFERROR(IF(INDIRECT(ADDRESS(MATCH($A35,【全期間】成果表実測値!$B:$B,0),AP$31,4,TRUE,"【全期間】成果表実測値"))="","",-INDIRECT(ADDRESS(MATCH($A35,【全期間】成果表実測値!$B:$B,0),AP$31,4,TRUE,"【全期間】成果表実測値"))),"")</f>
        <v>-40.799999999999997</v>
      </c>
      <c r="AQ35" s="283" t="str">
        <f ca="1">IFERROR(IF(INDIRECT(ADDRESS(MATCH($A35,【全期間】成果表実測値!$B:$B,0),AQ$31,4,TRUE,"【全期間】成果表実測値"))="","",-INDIRECT(ADDRESS(MATCH($A35,【全期間】成果表実測値!$B:$B,0),AQ$31,4,TRUE,"【全期間】成果表実測値"))),"")</f>
        <v/>
      </c>
      <c r="AR35" s="281" t="str">
        <f ca="1">IFERROR(IF(INDIRECT(ADDRESS(MATCH($A35,【全期間】成果表実測値!$B:$B,0),AR$31,4,TRUE,"【全期間】成果表実測値"))="","",-INDIRECT(ADDRESS(MATCH($A35,【全期間】成果表実測値!$B:$B,0),AR$31,4,TRUE,"【全期間】成果表実測値"))),"")</f>
        <v/>
      </c>
      <c r="AS35" s="282" t="str">
        <f ca="1">IFERROR(IF(INDIRECT(ADDRESS(MATCH($A35,【全期間】成果表実測値!$B:$B,0),AS$31,4,TRUE,"【全期間】成果表実測値"))="","",-INDIRECT(ADDRESS(MATCH($A35,【全期間】成果表実測値!$B:$B,0),AS$31,4,TRUE,"【全期間】成果表実測値"))),"")</f>
        <v/>
      </c>
      <c r="AT35" s="282" t="str">
        <f ca="1">IFERROR(IF(INDIRECT(ADDRESS(MATCH($A35,【全期間】成果表実測値!$B:$B,0),AT$31,4,TRUE,"【全期間】成果表実測値"))="","",-INDIRECT(ADDRESS(MATCH($A35,【全期間】成果表実測値!$B:$B,0),AT$31,4,TRUE,"【全期間】成果表実測値"))),"")</f>
        <v/>
      </c>
      <c r="AU35" s="282">
        <f ca="1">IFERROR(IF(INDIRECT(ADDRESS(MATCH($A35,【全期間】成果表実測値!$B:$B,0),AU$31,4,TRUE,"【全期間】成果表実測値"))="","",-INDIRECT(ADDRESS(MATCH($A35,【全期間】成果表実測値!$B:$B,0),AU$31,4,TRUE,"【全期間】成果表実測値"))),"")</f>
        <v>-10.5</v>
      </c>
      <c r="AV35" s="544" t="str">
        <f ca="1">IFERROR(IF(INDIRECT(ADDRESS(MATCH($A35,【全期間】成果表実測値!$B:$B,0),AV$31,4,TRUE,"【全期間】成果表実測値"))="","",-INDIRECT(ADDRESS(MATCH($A35,【全期間】成果表実測値!$B:$B,0),AV$31,4,TRUE,"【全期間】成果表実測値"))),"")</f>
        <v/>
      </c>
      <c r="AW35" s="552" t="str">
        <f ca="1">IFERROR(IF(INDIRECT(ADDRESS(MATCH($A35,【全期間】成果表実測値!$B:$B,0),AW$31,4,TRUE,"【全期間】成果表実測値"))="","",-INDIRECT(ADDRESS(MATCH($A35,【全期間】成果表実測値!$B:$B,0),AW$31,4,TRUE,"【全期間】成果表実測値"))),"")</f>
        <v/>
      </c>
      <c r="AX35" s="282" t="str">
        <f ca="1">IFERROR(IF(INDIRECT(ADDRESS(MATCH($A35,【全期間】成果表実測値!$B:$B,0),AX$31,4,TRUE,"【全期間】成果表実測値"))="","",-INDIRECT(ADDRESS(MATCH($A35,【全期間】成果表実測値!$B:$B,0),AX$31,4,TRUE,"【全期間】成果表実測値"))),"")</f>
        <v/>
      </c>
      <c r="AY35" s="475" t="str">
        <f ca="1">IFERROR(IF(INDIRECT(ADDRESS(MATCH($A35,【全期間】成果表実測値!$B:$B,0),AY$31,4,TRUE,"【全期間】成果表実測値"))="","",-INDIRECT(ADDRESS(MATCH($A35,【全期間】成果表実測値!$B:$B,0),AY$31,4,TRUE,"【全期間】成果表実測値"))),"")</f>
        <v/>
      </c>
      <c r="AZ35" s="282">
        <f ca="1">IFERROR(IF(INDIRECT(ADDRESS(MATCH($A35,【全期間】成果表実測値!$B:$B,0),AZ$31,4,TRUE,"【全期間】成果表実測値"))="","",-INDIRECT(ADDRESS(MATCH($A35,【全期間】成果表実測値!$B:$B,0),AZ$31,4,TRUE,"【全期間】成果表実測値"))),"")</f>
        <v>-41.399999999999878</v>
      </c>
      <c r="BA35" s="283" t="str">
        <f ca="1">IFERROR(IF(INDIRECT(ADDRESS(MATCH($A35,【全期間】成果表実測値!$B:$B,0),BA$31,4,TRUE,"【全期間】成果表実測値"))="","",-INDIRECT(ADDRESS(MATCH($A35,【全期間】成果表実測値!$B:$B,0),BA$31,4,TRUE,"【全期間】成果表実測値"))),"")</f>
        <v/>
      </c>
      <c r="BB35" s="642">
        <f ca="1">IFERROR(IF(INDIRECT(ADDRESS(MATCH($A35,【全期間】成果表実測値!$B:$B,0),BB$31,4,TRUE,"【全期間】成果表実測値"))="","",-INDIRECT(ADDRESS(MATCH($A35,【全期間】成果表実測値!$B:$B,0),BB$31,4,TRUE,"【全期間】成果表実測値"))),"")</f>
        <v>-0.90000000000012292</v>
      </c>
    </row>
    <row r="36" spans="1:54">
      <c r="A36" s="305" t="str">
        <f t="shared" si="5"/>
        <v>78-03</v>
      </c>
      <c r="B36" s="263" t="str">
        <f t="shared" si="6"/>
        <v>４.北)北18条西9丁目</v>
      </c>
      <c r="C36" s="298" t="str">
        <f t="shared" ca="1" si="6"/>
        <v>北大獣医学部</v>
      </c>
      <c r="D36" s="397"/>
      <c r="E36" s="398"/>
      <c r="F36" s="399"/>
      <c r="G36" s="399"/>
      <c r="H36" s="399"/>
      <c r="I36" s="320">
        <v>0</v>
      </c>
      <c r="J36" s="283">
        <f ca="1">IFERROR(IF(INDIRECT(ADDRESS(MATCH($A36,【全期間】成果表実測値!$B:$B,0),J$31,4,TRUE,"【全期間】成果表実測値"))="","",-INDIRECT(ADDRESS(MATCH($A36,【全期間】成果表実測値!$B:$B,0),J$31,4,TRUE,"【全期間】成果表実測値"))),"")</f>
        <v>-29.5</v>
      </c>
      <c r="K36" s="281">
        <f ca="1">IFERROR(IF(INDIRECT(ADDRESS(MATCH($A36,【全期間】成果表実測値!$B:$B,0),K$31,4,TRUE,"【全期間】成果表実測値"))="","",-INDIRECT(ADDRESS(MATCH($A36,【全期間】成果表実測値!$B:$B,0),K$31,4,TRUE,"【全期間】成果表実測値"))),"")</f>
        <v>-13.2</v>
      </c>
      <c r="L36" s="282">
        <f ca="1">IFERROR(IF(INDIRECT(ADDRESS(MATCH($A36,【全期間】成果表実測値!$B:$B,0),L$31,4,TRUE,"【全期間】成果表実測値"))="","",-INDIRECT(ADDRESS(MATCH($A36,【全期間】成果表実測値!$B:$B,0),L$31,4,TRUE,"【全期間】成果表実測値"))),"")</f>
        <v>23.8</v>
      </c>
      <c r="M36" s="282">
        <f ca="1">IFERROR(IF(INDIRECT(ADDRESS(MATCH($A36,【全期間】成果表実測値!$B:$B,0),M$31,4,TRUE,"【全期間】成果表実測値"))="","",-INDIRECT(ADDRESS(MATCH($A36,【全期間】成果表実測値!$B:$B,0),M$31,4,TRUE,"【全期間】成果表実測値"))),"")</f>
        <v>-32.799999999999997</v>
      </c>
      <c r="N36" s="282">
        <f ca="1">IFERROR(IF(INDIRECT(ADDRESS(MATCH($A36,【全期間】成果表実測値!$B:$B,0),N$31,4,TRUE,"【全期間】成果表実測値"))="","",-INDIRECT(ADDRESS(MATCH($A36,【全期間】成果表実測値!$B:$B,0),N$31,4,TRUE,"【全期間】成果表実測値"))),"")</f>
        <v>-2.4</v>
      </c>
      <c r="O36" s="283">
        <f ca="1">IFERROR(IF(INDIRECT(ADDRESS(MATCH($A36,【全期間】成果表実測値!$B:$B,0),O$31,4,TRUE,"【全期間】成果表実測値"))="","",-INDIRECT(ADDRESS(MATCH($A36,【全期間】成果表実測値!$B:$B,0),O$31,4,TRUE,"【全期間】成果表実測値"))),"")</f>
        <v>-17.2</v>
      </c>
      <c r="P36" s="281">
        <f ca="1">IFERROR(IF(INDIRECT(ADDRESS(MATCH($A36,【全期間】成果表実測値!$B:$B,0),P$31,4,TRUE,"【全期間】成果表実測値"))="","",-INDIRECT(ADDRESS(MATCH($A36,【全期間】成果表実測値!$B:$B,0),P$31,4,TRUE,"【全期間】成果表実測値"))),"")</f>
        <v>-36.799999999999997</v>
      </c>
      <c r="Q36" s="282">
        <f ca="1">IFERROR(IF(INDIRECT(ADDRESS(MATCH($A36,【全期間】成果表実測値!$B:$B,0),Q$31,4,TRUE,"【全期間】成果表実測値"))="","",-INDIRECT(ADDRESS(MATCH($A36,【全期間】成果表実測値!$B:$B,0),Q$31,4,TRUE,"【全期間】成果表実測値"))),"")</f>
        <v>-6.4</v>
      </c>
      <c r="R36" s="282">
        <f ca="1">IFERROR(IF(INDIRECT(ADDRESS(MATCH($A36,【全期間】成果表実測値!$B:$B,0),R$31,4,TRUE,"【全期間】成果表実測値"))="","",-INDIRECT(ADDRESS(MATCH($A36,【全期間】成果表実測値!$B:$B,0),R$31,4,TRUE,"【全期間】成果表実測値"))),"")</f>
        <v>-4.7</v>
      </c>
      <c r="S36" s="283">
        <f ca="1">IFERROR(IF(INDIRECT(ADDRESS(MATCH($A36,【全期間】成果表実測値!$B:$B,0),S$31,4,TRUE,"【全期間】成果表実測値"))="","",-INDIRECT(ADDRESS(MATCH($A36,【全期間】成果表実測値!$B:$B,0),S$31,4,TRUE,"【全期間】成果表実測値"))),"")</f>
        <v>8.8000000000000007</v>
      </c>
      <c r="T36" s="281">
        <f ca="1">IFERROR(IF(INDIRECT(ADDRESS(MATCH($A36,【全期間】成果表実測値!$B:$B,0),T$31,4,TRUE,"【全期間】成果表実測値"))="","",-INDIRECT(ADDRESS(MATCH($A36,【全期間】成果表実測値!$B:$B,0),T$31,4,TRUE,"【全期間】成果表実測値"))),"")</f>
        <v>-9.1999999999999993</v>
      </c>
      <c r="U36" s="282">
        <f ca="1">IFERROR(IF(INDIRECT(ADDRESS(MATCH($A36,【全期間】成果表実測値!$B:$B,0),U$31,4,TRUE,"【全期間】成果表実測値"))="","",-INDIRECT(ADDRESS(MATCH($A36,【全期間】成果表実測値!$B:$B,0),U$31,4,TRUE,"【全期間】成果表実測値"))),"")</f>
        <v>-13.3</v>
      </c>
      <c r="V36" s="282">
        <f ca="1">IFERROR(IF(INDIRECT(ADDRESS(MATCH($A36,【全期間】成果表実測値!$B:$B,0),V$31,4,TRUE,"【全期間】成果表実測値"))="","",-INDIRECT(ADDRESS(MATCH($A36,【全期間】成果表実測値!$B:$B,0),V$31,4,TRUE,"【全期間】成果表実測値"))),"")</f>
        <v>-38.1</v>
      </c>
      <c r="W36" s="283">
        <f ca="1">IFERROR(IF(INDIRECT(ADDRESS(MATCH($A36,【全期間】成果表実測値!$B:$B,0),W$31,4,TRUE,"【全期間】成果表実測値"))="","",-INDIRECT(ADDRESS(MATCH($A36,【全期間】成果表実測値!$B:$B,0),W$31,4,TRUE,"【全期間】成果表実測値"))),"")</f>
        <v>9.9</v>
      </c>
      <c r="X36" s="281">
        <f ca="1">IFERROR(IF(INDIRECT(ADDRESS(MATCH($A36,【全期間】成果表実測値!$B:$B,0),X$31,4,TRUE,"【全期間】成果表実測値"))="","",-INDIRECT(ADDRESS(MATCH($A36,【全期間】成果表実測値!$B:$B,0),X$31,4,TRUE,"【全期間】成果表実測値"))),"")</f>
        <v>0.3</v>
      </c>
      <c r="Y36" s="282">
        <f ca="1">IFERROR(IF(INDIRECT(ADDRESS(MATCH($A36,【全期間】成果表実測値!$B:$B,0),Y$31,4,TRUE,"【全期間】成果表実測値"))="","",-INDIRECT(ADDRESS(MATCH($A36,【全期間】成果表実測値!$B:$B,0),Y$31,4,TRUE,"【全期間】成果表実測値"))),"")</f>
        <v>-7.5</v>
      </c>
      <c r="Z36" s="282">
        <f ca="1">IFERROR(IF(INDIRECT(ADDRESS(MATCH($A36,【全期間】成果表実測値!$B:$B,0),Z$31,4,TRUE,"【全期間】成果表実測値"))="","",-INDIRECT(ADDRESS(MATCH($A36,【全期間】成果表実測値!$B:$B,0),Z$31,4,TRUE,"【全期間】成果表実測値"))),"")</f>
        <v>-7</v>
      </c>
      <c r="AA36" s="282">
        <f ca="1">IFERROR(IF(INDIRECT(ADDRESS(MATCH($A36,【全期間】成果表実測値!$B:$B,0),AA$31,4,TRUE,"【全期間】成果表実測値"))="","",-INDIRECT(ADDRESS(MATCH($A36,【全期間】成果表実測値!$B:$B,0),AA$31,4,TRUE,"【全期間】成果表実測値"))),"")</f>
        <v>6.3</v>
      </c>
      <c r="AB36" s="283">
        <f ca="1">IFERROR(IF(INDIRECT(ADDRESS(MATCH($A36,【全期間】成果表実測値!$B:$B,0),AB$31,4,TRUE,"【全期間】成果表実測値"))="","",-INDIRECT(ADDRESS(MATCH($A36,【全期間】成果表実測値!$B:$B,0),AB$31,4,TRUE,"【全期間】成果表実測値"))),"")</f>
        <v>-5.5</v>
      </c>
      <c r="AC36" s="281" t="str">
        <f ca="1">IFERROR(IF(INDIRECT(ADDRESS(MATCH($A36,【全期間】成果表実測値!$B:$B,0),AC$31,4,TRUE,"【全期間】成果表実測値"))="","",-INDIRECT(ADDRESS(MATCH($A36,【全期間】成果表実測値!$B:$B,0),AC$31,4,TRUE,"【全期間】成果表実測値"))),"")</f>
        <v/>
      </c>
      <c r="AD36" s="282" t="str">
        <f ca="1">IFERROR(IF(INDIRECT(ADDRESS(MATCH($A36,【全期間】成果表実測値!$B:$B,0),AD$31,4,TRUE,"【全期間】成果表実測値"))="","",-INDIRECT(ADDRESS(MATCH($A36,【全期間】成果表実測値!$B:$B,0),AD$31,4,TRUE,"【全期間】成果表実測値"))),"")</f>
        <v/>
      </c>
      <c r="AE36" s="282">
        <f ca="1">IFERROR(IF(INDIRECT(ADDRESS(MATCH($A36,【全期間】成果表実測値!$B:$B,0),AE$31,4,TRUE,"【全期間】成果表実測値"))="","",-INDIRECT(ADDRESS(MATCH($A36,【全期間】成果表実測値!$B:$B,0),AE$31,4,TRUE,"【全期間】成果表実測値"))),"")</f>
        <v>-4.9000000000000004</v>
      </c>
      <c r="AF36" s="282">
        <f ca="1">IFERROR(IF(INDIRECT(ADDRESS(MATCH($A36,【全期間】成果表実測値!$B:$B,0),AF$31,4,TRUE,"【全期間】成果表実測値"))="","",-INDIRECT(ADDRESS(MATCH($A36,【全期間】成果表実測値!$B:$B,0),AF$31,4,TRUE,"【全期間】成果表実測値"))),"")</f>
        <v>-0.40000000000084401</v>
      </c>
      <c r="AG36" s="283">
        <f ca="1">IFERROR(IF(INDIRECT(ADDRESS(MATCH($A36,【全期間】成果表実測値!$B:$B,0),AG$31,4,TRUE,"【全期間】成果表実測値"))="","",-INDIRECT(ADDRESS(MATCH($A36,【全期間】成果表実測値!$B:$B,0),AG$31,4,TRUE,"【全期間】成果表実測値"))),"")</f>
        <v>5.9</v>
      </c>
      <c r="AH36" s="281">
        <f ca="1">IFERROR(IF(INDIRECT(ADDRESS(MATCH($A36,【全期間】成果表実測値!$B:$B,0),AH$31,4,TRUE,"【全期間】成果表実測値"))="","",-INDIRECT(ADDRESS(MATCH($A36,【全期間】成果表実測値!$B:$B,0),AH$31,4,TRUE,"【全期間】成果表実測値"))),"")</f>
        <v>-13.7</v>
      </c>
      <c r="AI36" s="282" t="str">
        <f ca="1">IFERROR(IF(INDIRECT(ADDRESS(MATCH($A36,【全期間】成果表実測値!$B:$B,0),AI$31,4,TRUE,"【全期間】成果表実測値"))="","",-INDIRECT(ADDRESS(MATCH($A36,【全期間】成果表実測値!$B:$B,0),AI$31,4,TRUE,"【全期間】成果表実測値"))),"")</f>
        <v/>
      </c>
      <c r="AJ36" s="282">
        <f ca="1">IFERROR(IF(INDIRECT(ADDRESS(MATCH($A36,【全期間】成果表実測値!$B:$B,0),AJ$31,4,TRUE,"【全期間】成果表実測値"))="","",-INDIRECT(ADDRESS(MATCH($A36,【全期間】成果表実測値!$B:$B,0),AJ$31,4,TRUE,"【全期間】成果表実測値"))),"")</f>
        <v>-9</v>
      </c>
      <c r="AK36" s="282">
        <f ca="1">IFERROR(IF(INDIRECT(ADDRESS(MATCH($A36,【全期間】成果表実測値!$B:$B,0),AK$31,4,TRUE,"【全期間】成果表実測値"))="","",-INDIRECT(ADDRESS(MATCH($A36,【全期間】成果表実測値!$B:$B,0),AK$31,4,TRUE,"【全期間】成果表実測値"))),"")</f>
        <v>-5.3</v>
      </c>
      <c r="AL36" s="283">
        <f ca="1">IFERROR(IF(INDIRECT(ADDRESS(MATCH($A36,【全期間】成果表実測値!$B:$B,0),AL$31,4,TRUE,"【全期間】成果表実測値"))="","",-INDIRECT(ADDRESS(MATCH($A36,【全期間】成果表実測値!$B:$B,0),AL$31,4,TRUE,"【全期間】成果表実測値"))),"")</f>
        <v>-5.4</v>
      </c>
      <c r="AM36" s="281">
        <f ca="1">IFERROR(IF(INDIRECT(ADDRESS(MATCH($A36,【全期間】成果表実測値!$B:$B,0),AM$31,4,TRUE,"【全期間】成果表実測値"))="","",-INDIRECT(ADDRESS(MATCH($A36,【全期間】成果表実測値!$B:$B,0),AM$31,4,TRUE,"【全期間】成果表実測値"))),"")</f>
        <v>-12.1</v>
      </c>
      <c r="AN36" s="282">
        <f ca="1">IFERROR(IF(INDIRECT(ADDRESS(MATCH($A36,【全期間】成果表実測値!$B:$B,0),AN$31,4,TRUE,"【全期間】成果表実測値"))="","",-INDIRECT(ADDRESS(MATCH($A36,【全期間】成果表実測値!$B:$B,0),AN$31,4,TRUE,"【全期間】成果表実測値"))),"")</f>
        <v>-3.5</v>
      </c>
      <c r="AO36" s="282">
        <f ca="1">IFERROR(IF(INDIRECT(ADDRESS(MATCH($A36,【全期間】成果表実測値!$B:$B,0),AO$31,4,TRUE,"【全期間】成果表実測値"))="","",-INDIRECT(ADDRESS(MATCH($A36,【全期間】成果表実測値!$B:$B,0),AO$31,4,TRUE,"【全期間】成果表実測値"))),"")</f>
        <v>1.5</v>
      </c>
      <c r="AP36" s="282">
        <f ca="1">IFERROR(IF(INDIRECT(ADDRESS(MATCH($A36,【全期間】成果表実測値!$B:$B,0),AP$31,4,TRUE,"【全期間】成果表実測値"))="","",-INDIRECT(ADDRESS(MATCH($A36,【全期間】成果表実測値!$B:$B,0),AP$31,4,TRUE,"【全期間】成果表実測値"))),"")</f>
        <v>-0.6</v>
      </c>
      <c r="AQ36" s="283">
        <f ca="1">IFERROR(IF(INDIRECT(ADDRESS(MATCH($A36,【全期間】成果表実測値!$B:$B,0),AQ$31,4,TRUE,"【全期間】成果表実測値"))="","",-INDIRECT(ADDRESS(MATCH($A36,【全期間】成果表実測値!$B:$B,0),AQ$31,4,TRUE,"【全期間】成果表実測値"))),"")</f>
        <v>-4.2</v>
      </c>
      <c r="AR36" s="281" t="str">
        <f ca="1">IFERROR(IF(INDIRECT(ADDRESS(MATCH($A36,【全期間】成果表実測値!$B:$B,0),AR$31,4,TRUE,"【全期間】成果表実測値"))="","",-INDIRECT(ADDRESS(MATCH($A36,【全期間】成果表実測値!$B:$B,0),AR$31,4,TRUE,"【全期間】成果表実測値"))),"")</f>
        <v/>
      </c>
      <c r="AS36" s="282" t="str">
        <f ca="1">IFERROR(IF(INDIRECT(ADDRESS(MATCH($A36,【全期間】成果表実測値!$B:$B,0),AS$31,4,TRUE,"【全期間】成果表実測値"))="","",-INDIRECT(ADDRESS(MATCH($A36,【全期間】成果表実測値!$B:$B,0),AS$31,4,TRUE,"【全期間】成果表実測値"))),"")</f>
        <v/>
      </c>
      <c r="AT36" s="282">
        <f ca="1">IFERROR(IF(INDIRECT(ADDRESS(MATCH($A36,【全期間】成果表実測値!$B:$B,0),AT$31,4,TRUE,"【全期間】成果表実測値"))="","",-INDIRECT(ADDRESS(MATCH($A36,【全期間】成果表実測値!$B:$B,0),AT$31,4,TRUE,"【全期間】成果表実測値"))),"")</f>
        <v>0.2</v>
      </c>
      <c r="AU36" s="282">
        <f ca="1">IFERROR(IF(INDIRECT(ADDRESS(MATCH($A36,【全期間】成果表実測値!$B:$B,0),AU$31,4,TRUE,"【全期間】成果表実測値"))="","",-INDIRECT(ADDRESS(MATCH($A36,【全期間】成果表実測値!$B:$B,0),AU$31,4,TRUE,"【全期間】成果表実測値"))),"")</f>
        <v>1.8</v>
      </c>
      <c r="AV36" s="544">
        <f ca="1">IFERROR(IF(INDIRECT(ADDRESS(MATCH($A36,【全期間】成果表実測値!$B:$B,0),AV$31,4,TRUE,"【全期間】成果表実測値"))="","",-INDIRECT(ADDRESS(MATCH($A36,【全期間】成果表実測値!$B:$B,0),AV$31,4,TRUE,"【全期間】成果表実測値"))),"")</f>
        <v>-2</v>
      </c>
      <c r="AW36" s="552" t="str">
        <f ca="1">IFERROR(IF(INDIRECT(ADDRESS(MATCH($A36,【全期間】成果表実測値!$B:$B,0),AW$31,4,TRUE,"【全期間】成果表実測値"))="","",-INDIRECT(ADDRESS(MATCH($A36,【全期間】成果表実測値!$B:$B,0),AW$31,4,TRUE,"【全期間】成果表実測値"))),"")</f>
        <v/>
      </c>
      <c r="AX36" s="282" t="str">
        <f ca="1">IFERROR(IF(INDIRECT(ADDRESS(MATCH($A36,【全期間】成果表実測値!$B:$B,0),AX$31,4,TRUE,"【全期間】成果表実測値"))="","",-INDIRECT(ADDRESS(MATCH($A36,【全期間】成果表実測値!$B:$B,0),AX$31,4,TRUE,"【全期間】成果表実測値"))),"")</f>
        <v/>
      </c>
      <c r="AY36" s="475">
        <f ca="1">IFERROR(IF(INDIRECT(ADDRESS(MATCH($A36,【全期間】成果表実測値!$B:$B,0),AY$31,4,TRUE,"【全期間】成果表実測値"))="","",-INDIRECT(ADDRESS(MATCH($A36,【全期間】成果表実測値!$B:$B,0),AY$31,4,TRUE,"【全期間】成果表実測値"))),"")</f>
        <v>-11.599999999999611</v>
      </c>
      <c r="AZ36" s="282">
        <f ca="1">IFERROR(IF(INDIRECT(ADDRESS(MATCH($A36,【全期間】成果表実測値!$B:$B,0),AZ$31,4,TRUE,"【全期間】成果表実測値"))="","",-INDIRECT(ADDRESS(MATCH($A36,【全期間】成果表実測値!$B:$B,0),AZ$31,4,TRUE,"【全期間】成果表実測値"))),"")</f>
        <v>1.6999999999995907</v>
      </c>
      <c r="BA36" s="283" t="str">
        <f ca="1">IFERROR(IF(INDIRECT(ADDRESS(MATCH($A36,【全期間】成果表実測値!$B:$B,0),BA$31,4,TRUE,"【全期間】成果表実測値"))="","",-INDIRECT(ADDRESS(MATCH($A36,【全期間】成果表実測値!$B:$B,0),BA$31,4,TRUE,"【全期間】成果表実測値"))),"")</f>
        <v/>
      </c>
      <c r="BB36" s="642" t="str">
        <f ca="1">IFERROR(IF(INDIRECT(ADDRESS(MATCH($A36,【全期間】成果表実測値!$B:$B,0),BB$31,4,TRUE,"【全期間】成果表実測値"))="","",-INDIRECT(ADDRESS(MATCH($A36,【全期間】成果表実測値!$B:$B,0),BB$31,4,TRUE,"【全期間】成果表実測値"))),"")</f>
        <v/>
      </c>
    </row>
    <row r="37" spans="1:54">
      <c r="A37" s="305" t="str">
        <f t="shared" si="5"/>
        <v>73-27</v>
      </c>
      <c r="B37" s="263" t="str">
        <f t="shared" si="6"/>
        <v>５.北)新琴似5条11丁目</v>
      </c>
      <c r="C37" s="298" t="str">
        <f t="shared" ca="1" si="6"/>
        <v>光陽小学校</v>
      </c>
      <c r="D37" s="319">
        <v>0</v>
      </c>
      <c r="E37" s="281">
        <f ca="1">IFERROR(IF(INDIRECT(ADDRESS(MATCH($A37,【全期間】成果表実測値!$B:$B,0),E$31,4,TRUE,"【全期間】成果表実測値"))="","",-INDIRECT(ADDRESS(MATCH($A37,【全期間】成果表実測値!$B:$B,0),E$31,4,TRUE,"【全期間】成果表実測値"))),"")</f>
        <v>-21.7</v>
      </c>
      <c r="F37" s="282">
        <f ca="1">IFERROR(IF(INDIRECT(ADDRESS(MATCH($A37,【全期間】成果表実測値!$B:$B,0),F$31,4,TRUE,"【全期間】成果表実測値"))="","",-INDIRECT(ADDRESS(MATCH($A37,【全期間】成果表実測値!$B:$B,0),F$31,4,TRUE,"【全期間】成果表実測値"))),"")</f>
        <v>-28.3</v>
      </c>
      <c r="G37" s="282">
        <f ca="1">IFERROR(IF(INDIRECT(ADDRESS(MATCH($A37,【全期間】成果表実測値!$B:$B,0),G$31,4,TRUE,"【全期間】成果表実測値"))="","",-INDIRECT(ADDRESS(MATCH($A37,【全期間】成果表実測値!$B:$B,0),G$31,4,TRUE,"【全期間】成果表実測値"))),"")</f>
        <v>-11.7</v>
      </c>
      <c r="H37" s="282">
        <f ca="1">IFERROR(IF(INDIRECT(ADDRESS(MATCH($A37,【全期間】成果表実測値!$B:$B,0),H$31,4,TRUE,"【全期間】成果表実測値"))="","",-INDIRECT(ADDRESS(MATCH($A37,【全期間】成果表実測値!$B:$B,0),H$31,4,TRUE,"【全期間】成果表実測値"))),"")</f>
        <v>-6.5</v>
      </c>
      <c r="I37" s="282">
        <f ca="1">IFERROR(IF(INDIRECT(ADDRESS(MATCH($A37,【全期間】成果表実測値!$B:$B,0),I$31,4,TRUE,"【全期間】成果表実測値"))="","",-INDIRECT(ADDRESS(MATCH($A37,【全期間】成果表実測値!$B:$B,0),I$31,4,TRUE,"【全期間】成果表実測値"))),"")</f>
        <v>-12.8</v>
      </c>
      <c r="J37" s="283">
        <f ca="1">IFERROR(IF(INDIRECT(ADDRESS(MATCH($A37,【全期間】成果表実測値!$B:$B,0),J$31,4,TRUE,"【全期間】成果表実測値"))="","",-INDIRECT(ADDRESS(MATCH($A37,【全期間】成果表実測値!$B:$B,0),J$31,4,TRUE,"【全期間】成果表実測値"))),"")</f>
        <v>-9.6999999999999993</v>
      </c>
      <c r="K37" s="281">
        <f ca="1">IFERROR(IF(INDIRECT(ADDRESS(MATCH($A37,【全期間】成果表実測値!$B:$B,0),K$31,4,TRUE,"【全期間】成果表実測値"))="","",-INDIRECT(ADDRESS(MATCH($A37,【全期間】成果表実測値!$B:$B,0),K$31,4,TRUE,"【全期間】成果表実測値"))),"")</f>
        <v>-7.7</v>
      </c>
      <c r="L37" s="282">
        <f ca="1">IFERROR(IF(INDIRECT(ADDRESS(MATCH($A37,【全期間】成果表実測値!$B:$B,0),L$31,4,TRUE,"【全期間】成果表実測値"))="","",-INDIRECT(ADDRESS(MATCH($A37,【全期間】成果表実測値!$B:$B,0),L$31,4,TRUE,"【全期間】成果表実測値"))),"")</f>
        <v>5.6</v>
      </c>
      <c r="M37" s="282">
        <f ca="1">IFERROR(IF(INDIRECT(ADDRESS(MATCH($A37,【全期間】成果表実測値!$B:$B,0),M$31,4,TRUE,"【全期間】成果表実測値"))="","",-INDIRECT(ADDRESS(MATCH($A37,【全期間】成果表実測値!$B:$B,0),M$31,4,TRUE,"【全期間】成果表実測値"))),"")</f>
        <v>-6.4</v>
      </c>
      <c r="N37" s="282">
        <f ca="1">IFERROR(IF(INDIRECT(ADDRESS(MATCH($A37,【全期間】成果表実測値!$B:$B,0),N$31,4,TRUE,"【全期間】成果表実測値"))="","",-INDIRECT(ADDRESS(MATCH($A37,【全期間】成果表実測値!$B:$B,0),N$31,4,TRUE,"【全期間】成果表実測値"))),"")</f>
        <v>-7.7</v>
      </c>
      <c r="O37" s="283">
        <f ca="1">IFERROR(IF(INDIRECT(ADDRESS(MATCH($A37,【全期間】成果表実測値!$B:$B,0),O$31,4,TRUE,"【全期間】成果表実測値"))="","",-INDIRECT(ADDRESS(MATCH($A37,【全期間】成果表実測値!$B:$B,0),O$31,4,TRUE,"【全期間】成果表実測値"))),"")</f>
        <v>-16.7</v>
      </c>
      <c r="P37" s="281">
        <f ca="1">IFERROR(IF(INDIRECT(ADDRESS(MATCH($A37,【全期間】成果表実測値!$B:$B,0),P$31,4,TRUE,"【全期間】成果表実測値"))="","",-INDIRECT(ADDRESS(MATCH($A37,【全期間】成果表実測値!$B:$B,0),P$31,4,TRUE,"【全期間】成果表実測値"))),"")</f>
        <v>-6.2</v>
      </c>
      <c r="Q37" s="282">
        <f ca="1">IFERROR(IF(INDIRECT(ADDRESS(MATCH($A37,【全期間】成果表実測値!$B:$B,0),Q$31,4,TRUE,"【全期間】成果表実測値"))="","",-INDIRECT(ADDRESS(MATCH($A37,【全期間】成果表実測値!$B:$B,0),Q$31,4,TRUE,"【全期間】成果表実測値"))),"")</f>
        <v>-4.5999999999999996</v>
      </c>
      <c r="R37" s="282">
        <f ca="1">IFERROR(IF(INDIRECT(ADDRESS(MATCH($A37,【全期間】成果表実測値!$B:$B,0),R$31,4,TRUE,"【全期間】成果表実測値"))="","",-INDIRECT(ADDRESS(MATCH($A37,【全期間】成果表実測値!$B:$B,0),R$31,4,TRUE,"【全期間】成果表実測値"))),"")</f>
        <v>-1.1000000000000001</v>
      </c>
      <c r="S37" s="283">
        <f ca="1">IFERROR(IF(INDIRECT(ADDRESS(MATCH($A37,【全期間】成果表実測値!$B:$B,0),S$31,4,TRUE,"【全期間】成果表実測値"))="","",-INDIRECT(ADDRESS(MATCH($A37,【全期間】成果表実測値!$B:$B,0),S$31,4,TRUE,"【全期間】成果表実測値"))),"")</f>
        <v>-6.3</v>
      </c>
      <c r="T37" s="281">
        <f ca="1">IFERROR(IF(INDIRECT(ADDRESS(MATCH($A37,【全期間】成果表実測値!$B:$B,0),T$31,4,TRUE,"【全期間】成果表実測値"))="","",-INDIRECT(ADDRESS(MATCH($A37,【全期間】成果表実測値!$B:$B,0),T$31,4,TRUE,"【全期間】成果表実測値"))),"")</f>
        <v>-15</v>
      </c>
      <c r="U37" s="282">
        <f ca="1">IFERROR(IF(INDIRECT(ADDRESS(MATCH($A37,【全期間】成果表実測値!$B:$B,0),U$31,4,TRUE,"【全期間】成果表実測値"))="","",-INDIRECT(ADDRESS(MATCH($A37,【全期間】成果表実測値!$B:$B,0),U$31,4,TRUE,"【全期間】成果表実測値"))),"")</f>
        <v>-0.6</v>
      </c>
      <c r="V37" s="282">
        <f ca="1">IFERROR(IF(INDIRECT(ADDRESS(MATCH($A37,【全期間】成果表実測値!$B:$B,0),V$31,4,TRUE,"【全期間】成果表実測値"))="","",-INDIRECT(ADDRESS(MATCH($A37,【全期間】成果表実測値!$B:$B,0),V$31,4,TRUE,"【全期間】成果表実測値"))),"")</f>
        <v>-11.2</v>
      </c>
      <c r="W37" s="283">
        <f ca="1">IFERROR(IF(INDIRECT(ADDRESS(MATCH($A37,【全期間】成果表実測値!$B:$B,0),W$31,4,TRUE,"【全期間】成果表実測値"))="","",-INDIRECT(ADDRESS(MATCH($A37,【全期間】成果表実測値!$B:$B,0),W$31,4,TRUE,"【全期間】成果表実測値"))),"")</f>
        <v>-0.2</v>
      </c>
      <c r="X37" s="281">
        <f ca="1">IFERROR(IF(INDIRECT(ADDRESS(MATCH($A37,【全期間】成果表実測値!$B:$B,0),X$31,4,TRUE,"【全期間】成果表実測値"))="","",-INDIRECT(ADDRESS(MATCH($A37,【全期間】成果表実測値!$B:$B,0),X$31,4,TRUE,"【全期間】成果表実測値"))),"")</f>
        <v>-0.9</v>
      </c>
      <c r="Y37" s="282">
        <f ca="1">IFERROR(IF(INDIRECT(ADDRESS(MATCH($A37,【全期間】成果表実測値!$B:$B,0),Y$31,4,TRUE,"【全期間】成果表実測値"))="","",-INDIRECT(ADDRESS(MATCH($A37,【全期間】成果表実測値!$B:$B,0),Y$31,4,TRUE,"【全期間】成果表実測値"))),"")</f>
        <v>-6.7</v>
      </c>
      <c r="Z37" s="282">
        <f ca="1">IFERROR(IF(INDIRECT(ADDRESS(MATCH($A37,【全期間】成果表実測値!$B:$B,0),Z$31,4,TRUE,"【全期間】成果表実測値"))="","",-INDIRECT(ADDRESS(MATCH($A37,【全期間】成果表実測値!$B:$B,0),Z$31,4,TRUE,"【全期間】成果表実測値"))),"")</f>
        <v>-5.4</v>
      </c>
      <c r="AA37" s="282">
        <f ca="1">IFERROR(IF(INDIRECT(ADDRESS(MATCH($A37,【全期間】成果表実測値!$B:$B,0),AA$31,4,TRUE,"【全期間】成果表実測値"))="","",-INDIRECT(ADDRESS(MATCH($A37,【全期間】成果表実測値!$B:$B,0),AA$31,4,TRUE,"【全期間】成果表実測値"))),"")</f>
        <v>-9</v>
      </c>
      <c r="AB37" s="283">
        <f ca="1">IFERROR(IF(INDIRECT(ADDRESS(MATCH($A37,【全期間】成果表実測値!$B:$B,0),AB$31,4,TRUE,"【全期間】成果表実測値"))="","",-INDIRECT(ADDRESS(MATCH($A37,【全期間】成果表実測値!$B:$B,0),AB$31,4,TRUE,"【全期間】成果表実測値"))),"")</f>
        <v>-11.6</v>
      </c>
      <c r="AC37" s="281">
        <f ca="1">IFERROR(IF(INDIRECT(ADDRESS(MATCH($A37,【全期間】成果表実測値!$B:$B,0),AC$31,4,TRUE,"【全期間】成果表実測値"))="","",-INDIRECT(ADDRESS(MATCH($A37,【全期間】成果表実測値!$B:$B,0),AC$31,4,TRUE,"【全期間】成果表実測値"))),"")</f>
        <v>4.5</v>
      </c>
      <c r="AD37" s="282">
        <f ca="1">IFERROR(IF(INDIRECT(ADDRESS(MATCH($A37,【全期間】成果表実測値!$B:$B,0),AD$31,4,TRUE,"【全期間】成果表実測値"))="","",-INDIRECT(ADDRESS(MATCH($A37,【全期間】成果表実測値!$B:$B,0),AD$31,4,TRUE,"【全期間】成果表実測値"))),"")</f>
        <v>-4.0999999999999996</v>
      </c>
      <c r="AE37" s="282">
        <f ca="1">IFERROR(IF(INDIRECT(ADDRESS(MATCH($A37,【全期間】成果表実測値!$B:$B,0),AE$31,4,TRUE,"【全期間】成果表実測値"))="","",-INDIRECT(ADDRESS(MATCH($A37,【全期間】成果表実測値!$B:$B,0),AE$31,4,TRUE,"【全期間】成果表実測値"))),"")</f>
        <v>-1.7</v>
      </c>
      <c r="AF37" s="282">
        <f ca="1">IFERROR(IF(INDIRECT(ADDRESS(MATCH($A37,【全期間】成果表実測値!$B:$B,0),AF$31,4,TRUE,"【全期間】成果表実測値"))="","",-INDIRECT(ADDRESS(MATCH($A37,【全期間】成果表実測値!$B:$B,0),AF$31,4,TRUE,"【全期間】成果表実測値"))),"")</f>
        <v>-4.5999999999999401</v>
      </c>
      <c r="AG37" s="283">
        <f ca="1">IFERROR(IF(INDIRECT(ADDRESS(MATCH($A37,【全期間】成果表実測値!$B:$B,0),AG$31,4,TRUE,"【全期間】成果表実測値"))="","",-INDIRECT(ADDRESS(MATCH($A37,【全期間】成果表実測値!$B:$B,0),AG$31,4,TRUE,"【全期間】成果表実測値"))),"")</f>
        <v>1.2</v>
      </c>
      <c r="AH37" s="281">
        <f ca="1">IFERROR(IF(INDIRECT(ADDRESS(MATCH($A37,【全期間】成果表実測値!$B:$B,0),AH$31,4,TRUE,"【全期間】成果表実測値"))="","",-INDIRECT(ADDRESS(MATCH($A37,【全期間】成果表実測値!$B:$B,0),AH$31,4,TRUE,"【全期間】成果表実測値"))),"")</f>
        <v>-5.2</v>
      </c>
      <c r="AI37" s="282">
        <f ca="1">IFERROR(IF(INDIRECT(ADDRESS(MATCH($A37,【全期間】成果表実測値!$B:$B,0),AI$31,4,TRUE,"【全期間】成果表実測値"))="","",-INDIRECT(ADDRESS(MATCH($A37,【全期間】成果表実測値!$B:$B,0),AI$31,4,TRUE,"【全期間】成果表実測値"))),"")</f>
        <v>-8.1999999999999993</v>
      </c>
      <c r="AJ37" s="282">
        <f ca="1">IFERROR(IF(INDIRECT(ADDRESS(MATCH($A37,【全期間】成果表実測値!$B:$B,0),AJ$31,4,TRUE,"【全期間】成果表実測値"))="","",-INDIRECT(ADDRESS(MATCH($A37,【全期間】成果表実測値!$B:$B,0),AJ$31,4,TRUE,"【全期間】成果表実測値"))),"")</f>
        <v>-2.2999999999999998</v>
      </c>
      <c r="AK37" s="282">
        <f ca="1">IFERROR(IF(INDIRECT(ADDRESS(MATCH($A37,【全期間】成果表実測値!$B:$B,0),AK$31,4,TRUE,"【全期間】成果表実測値"))="","",-INDIRECT(ADDRESS(MATCH($A37,【全期間】成果表実測値!$B:$B,0),AK$31,4,TRUE,"【全期間】成果表実測値"))),"")</f>
        <v>-6.6</v>
      </c>
      <c r="AL37" s="283">
        <f ca="1">IFERROR(IF(INDIRECT(ADDRESS(MATCH($A37,【全期間】成果表実測値!$B:$B,0),AL$31,4,TRUE,"【全期間】成果表実測値"))="","",-INDIRECT(ADDRESS(MATCH($A37,【全期間】成果表実測値!$B:$B,0),AL$31,4,TRUE,"【全期間】成果表実測値"))),"")</f>
        <v>-1.3</v>
      </c>
      <c r="AM37" s="281" t="str">
        <f ca="1">IFERROR(IF(INDIRECT(ADDRESS(MATCH($A37,【全期間】成果表実測値!$B:$B,0),AM$31,4,TRUE,"【全期間】成果表実測値"))="","",-INDIRECT(ADDRESS(MATCH($A37,【全期間】成果表実測値!$B:$B,0),AM$31,4,TRUE,"【全期間】成果表実測値"))),"")</f>
        <v/>
      </c>
      <c r="AN37" s="282" t="str">
        <f ca="1">IFERROR(IF(INDIRECT(ADDRESS(MATCH($A37,【全期間】成果表実測値!$B:$B,0),AN$31,4,TRUE,"【全期間】成果表実測値"))="","",-INDIRECT(ADDRESS(MATCH($A37,【全期間】成果表実測値!$B:$B,0),AN$31,4,TRUE,"【全期間】成果表実測値"))),"")</f>
        <v/>
      </c>
      <c r="AO37" s="282" t="str">
        <f ca="1">IFERROR(IF(INDIRECT(ADDRESS(MATCH($A37,【全期間】成果表実測値!$B:$B,0),AO$31,4,TRUE,"【全期間】成果表実測値"))="","",-INDIRECT(ADDRESS(MATCH($A37,【全期間】成果表実測値!$B:$B,0),AO$31,4,TRUE,"【全期間】成果表実測値"))),"")</f>
        <v/>
      </c>
      <c r="AP37" s="282">
        <f ca="1">IFERROR(IF(INDIRECT(ADDRESS(MATCH($A37,【全期間】成果表実測値!$B:$B,0),AP$31,4,TRUE,"【全期間】成果表実測値"))="","",-INDIRECT(ADDRESS(MATCH($A37,【全期間】成果表実測値!$B:$B,0),AP$31,4,TRUE,"【全期間】成果表実測値"))),"")</f>
        <v>-2.7</v>
      </c>
      <c r="AQ37" s="283" t="str">
        <f ca="1">IFERROR(IF(INDIRECT(ADDRESS(MATCH($A37,【全期間】成果表実測値!$B:$B,0),AQ$31,4,TRUE,"【全期間】成果表実測値"))="","",-INDIRECT(ADDRESS(MATCH($A37,【全期間】成果表実測値!$B:$B,0),AQ$31,4,TRUE,"【全期間】成果表実測値"))),"")</f>
        <v/>
      </c>
      <c r="AR37" s="281" t="str">
        <f ca="1">IFERROR(IF(INDIRECT(ADDRESS(MATCH($A37,【全期間】成果表実測値!$B:$B,0),AR$31,4,TRUE,"【全期間】成果表実測値"))="","",-INDIRECT(ADDRESS(MATCH($A37,【全期間】成果表実測値!$B:$B,0),AR$31,4,TRUE,"【全期間】成果表実測値"))),"")</f>
        <v/>
      </c>
      <c r="AS37" s="282">
        <f ca="1">IFERROR(IF(INDIRECT(ADDRESS(MATCH($A37,【全期間】成果表実測値!$B:$B,0),AS$31,4,TRUE,"【全期間】成果表実測値"))="","",-INDIRECT(ADDRESS(MATCH($A37,【全期間】成果表実測値!$B:$B,0),AS$31,4,TRUE,"【全期間】成果表実測値"))),"")</f>
        <v>-3.2</v>
      </c>
      <c r="AT37" s="282" t="str">
        <f ca="1">IFERROR(IF(INDIRECT(ADDRESS(MATCH($A37,【全期間】成果表実測値!$B:$B,0),AT$31,4,TRUE,"【全期間】成果表実測値"))="","",-INDIRECT(ADDRESS(MATCH($A37,【全期間】成果表実測値!$B:$B,0),AT$31,4,TRUE,"【全期間】成果表実測値"))),"")</f>
        <v/>
      </c>
      <c r="AU37" s="282">
        <f ca="1">IFERROR(IF(INDIRECT(ADDRESS(MATCH($A37,【全期間】成果表実測値!$B:$B,0),AU$31,4,TRUE,"【全期間】成果表実測値"))="","",-INDIRECT(ADDRESS(MATCH($A37,【全期間】成果表実測値!$B:$B,0),AU$31,4,TRUE,"【全期間】成果表実測値"))),"")</f>
        <v>1.9</v>
      </c>
      <c r="AV37" s="544" t="str">
        <f ca="1">IFERROR(IF(INDIRECT(ADDRESS(MATCH($A37,【全期間】成果表実測値!$B:$B,0),AV$31,4,TRUE,"【全期間】成果表実測値"))="","",-INDIRECT(ADDRESS(MATCH($A37,【全期間】成果表実測値!$B:$B,0),AV$31,4,TRUE,"【全期間】成果表実測値"))),"")</f>
        <v/>
      </c>
      <c r="AW37" s="552" t="str">
        <f ca="1">IFERROR(IF(INDIRECT(ADDRESS(MATCH($A37,【全期間】成果表実測値!$B:$B,0),AW$31,4,TRUE,"【全期間】成果表実測値"))="","",-INDIRECT(ADDRESS(MATCH($A37,【全期間】成果表実測値!$B:$B,0),AW$31,4,TRUE,"【全期間】成果表実測値"))),"")</f>
        <v/>
      </c>
      <c r="AX37" s="282">
        <f ca="1">IFERROR(IF(INDIRECT(ADDRESS(MATCH($A37,【全期間】成果表実測値!$B:$B,0),AX$31,4,TRUE,"【全期間】成果表実測値"))="","",-INDIRECT(ADDRESS(MATCH($A37,【全期間】成果表実測値!$B:$B,0),AX$31,4,TRUE,"【全期間】成果表実測値"))),"")</f>
        <v>-2.8000000000005798</v>
      </c>
      <c r="AY37" s="475" t="str">
        <f ca="1">IFERROR(IF(INDIRECT(ADDRESS(MATCH($A37,【全期間】成果表実測値!$B:$B,0),AY$31,4,TRUE,"【全期間】成果表実測値"))="","",-INDIRECT(ADDRESS(MATCH($A37,【全期間】成果表実測値!$B:$B,0),AY$31,4,TRUE,"【全期間】成果表実測値"))),"")</f>
        <v/>
      </c>
      <c r="AZ37" s="282">
        <f ca="1">IFERROR(IF(INDIRECT(ADDRESS(MATCH($A37,【全期間】成果表実測値!$B:$B,0),AZ$31,4,TRUE,"【全期間】成果表実測値"))="","",-INDIRECT(ADDRESS(MATCH($A37,【全期間】成果表実測値!$B:$B,0),AZ$31,4,TRUE,"【全期間】成果表実測値"))),"")</f>
        <v>-3.0000000000001137</v>
      </c>
      <c r="BA37" s="283">
        <f ca="1">IFERROR(IF(INDIRECT(ADDRESS(MATCH($A37,【全期間】成果表実測値!$B:$B,0),BA$31,4,TRUE,"【全期間】成果表実測値"))="","",-INDIRECT(ADDRESS(MATCH($A37,【全期間】成果表実測値!$B:$B,0),BA$31,4,TRUE,"【全期間】成果表実測値"))),"")</f>
        <v>-1.5999999999998238</v>
      </c>
      <c r="BB37" s="642" t="str">
        <f ca="1">IFERROR(IF(INDIRECT(ADDRESS(MATCH($A37,【全期間】成果表実測値!$B:$B,0),BB$31,4,TRUE,"【全期間】成果表実測値"))="","",-INDIRECT(ADDRESS(MATCH($A37,【全期間】成果表実測値!$B:$B,0),BB$31,4,TRUE,"【全期間】成果表実測値"))),"")</f>
        <v/>
      </c>
    </row>
    <row r="38" spans="1:54">
      <c r="A38" s="304" t="str">
        <f t="shared" si="5"/>
        <v>低地東部</v>
      </c>
      <c r="B38" s="262"/>
      <c r="C38" s="297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571"/>
      <c r="BA38" s="644"/>
      <c r="BB38" s="285"/>
    </row>
    <row r="39" spans="1:54">
      <c r="A39" s="305" t="str">
        <f t="shared" si="5"/>
        <v>83-05</v>
      </c>
      <c r="B39" s="263" t="str">
        <f t="shared" ref="B39:C43" si="7">B11</f>
        <v>６.厚)厚別町山本645番地</v>
      </c>
      <c r="C39" s="298" t="str">
        <f t="shared" ca="1" si="7"/>
        <v>厚別水再生プラザ</v>
      </c>
      <c r="D39" s="397"/>
      <c r="E39" s="398"/>
      <c r="F39" s="320">
        <v>0</v>
      </c>
      <c r="G39" s="282" t="str">
        <f ca="1">IFERROR(IF(INDIRECT(ADDRESS(MATCH($A39,【全期間】成果表実測値!$B:$B,0),G$31,4,TRUE,"【全期間】成果表実測値"))="","",-INDIRECT(ADDRESS(MATCH($A39,【全期間】成果表実測値!$B:$B,0),G$31,4,TRUE,"【全期間】成果表実測値"))),"")</f>
        <v/>
      </c>
      <c r="H39" s="282">
        <f ca="1">IFERROR(IF(INDIRECT(ADDRESS(MATCH($A39,【全期間】成果表実測値!$B:$B,0),H$31,4,TRUE,"【全期間】成果表実測値"))="","",-INDIRECT(ADDRESS(MATCH($A39,【全期間】成果表実測値!$B:$B,0),H$31,4,TRUE,"【全期間】成果表実測値"))),"")</f>
        <v>-67.400000000000006</v>
      </c>
      <c r="I39" s="282">
        <f ca="1">IFERROR(IF(INDIRECT(ADDRESS(MATCH($A39,【全期間】成果表実測値!$B:$B,0),I$31,4,TRUE,"【全期間】成果表実測値"))="","",-INDIRECT(ADDRESS(MATCH($A39,【全期間】成果表実測値!$B:$B,0),I$31,4,TRUE,"【全期間】成果表実測値"))),"")</f>
        <v>-62.3</v>
      </c>
      <c r="J39" s="283">
        <f ca="1">IFERROR(IF(INDIRECT(ADDRESS(MATCH($A39,【全期間】成果表実測値!$B:$B,0),J$31,4,TRUE,"【全期間】成果表実測値"))="","",-INDIRECT(ADDRESS(MATCH($A39,【全期間】成果表実測値!$B:$B,0),J$31,4,TRUE,"【全期間】成果表実測値"))),"")</f>
        <v>-38.799999999999997</v>
      </c>
      <c r="K39" s="281">
        <f ca="1">IFERROR(IF(INDIRECT(ADDRESS(MATCH($A39,【全期間】成果表実測値!$B:$B,0),K$31,4,TRUE,"【全期間】成果表実測値"))="","",-INDIRECT(ADDRESS(MATCH($A39,【全期間】成果表実測値!$B:$B,0),K$31,4,TRUE,"【全期間】成果表実測値"))),"")</f>
        <v>-24.3</v>
      </c>
      <c r="L39" s="282">
        <f ca="1">IFERROR(IF(INDIRECT(ADDRESS(MATCH($A39,【全期間】成果表実測値!$B:$B,0),L$31,4,TRUE,"【全期間】成果表実測値"))="","",-INDIRECT(ADDRESS(MATCH($A39,【全期間】成果表実測値!$B:$B,0),L$31,4,TRUE,"【全期間】成果表実測値"))),"")</f>
        <v>-6.3</v>
      </c>
      <c r="M39" s="282">
        <f ca="1">IFERROR(IF(INDIRECT(ADDRESS(MATCH($A39,【全期間】成果表実測値!$B:$B,0),M$31,4,TRUE,"【全期間】成果表実測値"))="","",-INDIRECT(ADDRESS(MATCH($A39,【全期間】成果表実測値!$B:$B,0),M$31,4,TRUE,"【全期間】成果表実測値"))),"")</f>
        <v>-28.1</v>
      </c>
      <c r="N39" s="282" t="str">
        <f ca="1">IFERROR(IF(INDIRECT(ADDRESS(MATCH($A39,【全期間】成果表実測値!$B:$B,0),N$31,4,TRUE,"【全期間】成果表実測値"))="","",-INDIRECT(ADDRESS(MATCH($A39,【全期間】成果表実測値!$B:$B,0),N$31,4,TRUE,"【全期間】成果表実測値"))),"")</f>
        <v/>
      </c>
      <c r="O39" s="283">
        <f ca="1">IFERROR(IF(INDIRECT(ADDRESS(MATCH($A39,【全期間】成果表実測値!$B:$B,0),O$31,4,TRUE,"【全期間】成果表実測値"))="","",-INDIRECT(ADDRESS(MATCH($A39,【全期間】成果表実測値!$B:$B,0),O$31,4,TRUE,"【全期間】成果表実測値"))),"")</f>
        <v>-65.099999999999994</v>
      </c>
      <c r="P39" s="281" t="str">
        <f ca="1">IFERROR(IF(INDIRECT(ADDRESS(MATCH($A39,【全期間】成果表実測値!$B:$B,0),P$31,4,TRUE,"【全期間】成果表実測値"))="","",-INDIRECT(ADDRESS(MATCH($A39,【全期間】成果表実測値!$B:$B,0),P$31,4,TRUE,"【全期間】成果表実測値"))),"")</f>
        <v/>
      </c>
      <c r="Q39" s="282" t="str">
        <f ca="1">IFERROR(IF(INDIRECT(ADDRESS(MATCH($A39,【全期間】成果表実測値!$B:$B,0),Q$31,4,TRUE,"【全期間】成果表実測値"))="","",-INDIRECT(ADDRESS(MATCH($A39,【全期間】成果表実測値!$B:$B,0),Q$31,4,TRUE,"【全期間】成果表実測値"))),"")</f>
        <v/>
      </c>
      <c r="R39" s="282" t="str">
        <f ca="1">IFERROR(IF(INDIRECT(ADDRESS(MATCH($A39,【全期間】成果表実測値!$B:$B,0),R$31,4,TRUE,"【全期間】成果表実測値"))="","",-INDIRECT(ADDRESS(MATCH($A39,【全期間】成果表実測値!$B:$B,0),R$31,4,TRUE,"【全期間】成果表実測値"))),"")</f>
        <v/>
      </c>
      <c r="S39" s="283" t="str">
        <f ca="1">IFERROR(IF(INDIRECT(ADDRESS(MATCH($A39,【全期間】成果表実測値!$B:$B,0),S$31,4,TRUE,"【全期間】成果表実測値"))="","",-INDIRECT(ADDRESS(MATCH($A39,【全期間】成果表実測値!$B:$B,0),S$31,4,TRUE,"【全期間】成果表実測値"))),"")</f>
        <v/>
      </c>
      <c r="T39" s="281" t="str">
        <f ca="1">IFERROR(IF(INDIRECT(ADDRESS(MATCH($A39,【全期間】成果表実測値!$B:$B,0),T$31,4,TRUE,"【全期間】成果表実測値"))="","",-INDIRECT(ADDRESS(MATCH($A39,【全期間】成果表実測値!$B:$B,0),T$31,4,TRUE,"【全期間】成果表実測値"))),"")</f>
        <v/>
      </c>
      <c r="U39" s="282" t="str">
        <f ca="1">IFERROR(IF(INDIRECT(ADDRESS(MATCH($A39,【全期間】成果表実測値!$B:$B,0),U$31,4,TRUE,"【全期間】成果表実測値"))="","",-INDIRECT(ADDRESS(MATCH($A39,【全期間】成果表実測値!$B:$B,0),U$31,4,TRUE,"【全期間】成果表実測値"))),"")</f>
        <v/>
      </c>
      <c r="V39" s="282" t="str">
        <f ca="1">IFERROR(IF(INDIRECT(ADDRESS(MATCH($A39,【全期間】成果表実測値!$B:$B,0),V$31,4,TRUE,"【全期間】成果表実測値"))="","",-INDIRECT(ADDRESS(MATCH($A39,【全期間】成果表実測値!$B:$B,0),V$31,4,TRUE,"【全期間】成果表実測値"))),"")</f>
        <v/>
      </c>
      <c r="W39" s="283" t="str">
        <f ca="1">IFERROR(IF(INDIRECT(ADDRESS(MATCH($A39,【全期間】成果表実測値!$B:$B,0),W$31,4,TRUE,"【全期間】成果表実測値"))="","",-INDIRECT(ADDRESS(MATCH($A39,【全期間】成果表実測値!$B:$B,0),W$31,4,TRUE,"【全期間】成果表実測値"))),"")</f>
        <v/>
      </c>
      <c r="X39" s="281" t="str">
        <f ca="1">IFERROR(IF(INDIRECT(ADDRESS(MATCH($A39,【全期間】成果表実測値!$B:$B,0),X$31,4,TRUE,"【全期間】成果表実測値"))="","",-INDIRECT(ADDRESS(MATCH($A39,【全期間】成果表実測値!$B:$B,0),X$31,4,TRUE,"【全期間】成果表実測値"))),"")</f>
        <v/>
      </c>
      <c r="Y39" s="282" t="str">
        <f ca="1">IFERROR(IF(INDIRECT(ADDRESS(MATCH($A39,【全期間】成果表実測値!$B:$B,0),Y$31,4,TRUE,"【全期間】成果表実測値"))="","",-INDIRECT(ADDRESS(MATCH($A39,【全期間】成果表実測値!$B:$B,0),Y$31,4,TRUE,"【全期間】成果表実測値"))),"")</f>
        <v/>
      </c>
      <c r="Z39" s="282" t="str">
        <f ca="1">IFERROR(IF(INDIRECT(ADDRESS(MATCH($A39,【全期間】成果表実測値!$B:$B,0),Z$31,4,TRUE,"【全期間】成果表実測値"))="","",-INDIRECT(ADDRESS(MATCH($A39,【全期間】成果表実測値!$B:$B,0),Z$31,4,TRUE,"【全期間】成果表実測値"))),"")</f>
        <v/>
      </c>
      <c r="AA39" s="282">
        <f ca="1">IFERROR(IF(INDIRECT(ADDRESS(MATCH($A39,【全期間】成果表実測値!$B:$B,0),AA$31,4,TRUE,"【全期間】成果表実測値"))="","",-INDIRECT(ADDRESS(MATCH($A39,【全期間】成果表実測値!$B:$B,0),AA$31,4,TRUE,"【全期間】成果表実測値"))),"")</f>
        <v>-254.1</v>
      </c>
      <c r="AB39" s="283" t="str">
        <f ca="1">IFERROR(IF(INDIRECT(ADDRESS(MATCH($A39,【全期間】成果表実測値!$B:$B,0),AB$31,4,TRUE,"【全期間】成果表実測値"))="","",-INDIRECT(ADDRESS(MATCH($A39,【全期間】成果表実測値!$B:$B,0),AB$31,4,TRUE,"【全期間】成果表実測値"))),"")</f>
        <v/>
      </c>
      <c r="AC39" s="281" t="str">
        <f ca="1">IFERROR(IF(INDIRECT(ADDRESS(MATCH($A39,【全期間】成果表実測値!$B:$B,0),AC$31,4,TRUE,"【全期間】成果表実測値"))="","",-INDIRECT(ADDRESS(MATCH($A39,【全期間】成果表実測値!$B:$B,0),AC$31,4,TRUE,"【全期間】成果表実測値"))),"")</f>
        <v/>
      </c>
      <c r="AD39" s="282">
        <f ca="1">IFERROR(IF(INDIRECT(ADDRESS(MATCH($A39,【全期間】成果表実測値!$B:$B,0),AD$31,4,TRUE,"【全期間】成果表実測値"))="","",-INDIRECT(ADDRESS(MATCH($A39,【全期間】成果表実測値!$B:$B,0),AD$31,4,TRUE,"【全期間】成果表実測値"))),"")</f>
        <v>-26.4</v>
      </c>
      <c r="AE39" s="282" t="str">
        <f ca="1">IFERROR(IF(INDIRECT(ADDRESS(MATCH($A39,【全期間】成果表実測値!$B:$B,0),AE$31,4,TRUE,"【全期間】成果表実測値"))="","",-INDIRECT(ADDRESS(MATCH($A39,【全期間】成果表実測値!$B:$B,0),AE$31,4,TRUE,"【全期間】成果表実測値"))),"")</f>
        <v/>
      </c>
      <c r="AF39" s="282" t="str">
        <f ca="1">IFERROR(IF(INDIRECT(ADDRESS(MATCH($A39,【全期間】成果表実測値!$B:$B,0),AF$31,4,TRUE,"【全期間】成果表実測値"))="","",-INDIRECT(ADDRESS(MATCH($A39,【全期間】成果表実測値!$B:$B,0),AF$31,4,TRUE,"【全期間】成果表実測値"))),"")</f>
        <v/>
      </c>
      <c r="AG39" s="283">
        <f ca="1">IFERROR(IF(INDIRECT(ADDRESS(MATCH($A39,【全期間】成果表実測値!$B:$B,0),AG$31,4,TRUE,"【全期間】成果表実測値"))="","",-INDIRECT(ADDRESS(MATCH($A39,【全期間】成果表実測値!$B:$B,0),AG$31,4,TRUE,"【全期間】成果表実測値"))),"")</f>
        <v>-17.899999999999999</v>
      </c>
      <c r="AH39" s="281" t="str">
        <f ca="1">IFERROR(IF(INDIRECT(ADDRESS(MATCH($A39,【全期間】成果表実測値!$B:$B,0),AH$31,4,TRUE,"【全期間】成果表実測値"))="","",-INDIRECT(ADDRESS(MATCH($A39,【全期間】成果表実測値!$B:$B,0),AH$31,4,TRUE,"【全期間】成果表実測値"))),"")</f>
        <v/>
      </c>
      <c r="AI39" s="282" t="str">
        <f ca="1">IFERROR(IF(INDIRECT(ADDRESS(MATCH($A39,【全期間】成果表実測値!$B:$B,0),AI$31,4,TRUE,"【全期間】成果表実測値"))="","",-INDIRECT(ADDRESS(MATCH($A39,【全期間】成果表実測値!$B:$B,0),AI$31,4,TRUE,"【全期間】成果表実測値"))),"")</f>
        <v/>
      </c>
      <c r="AJ39" s="282" t="str">
        <f ca="1">IFERROR(IF(INDIRECT(ADDRESS(MATCH($A39,【全期間】成果表実測値!$B:$B,0),AJ$31,4,TRUE,"【全期間】成果表実測値"))="","",-INDIRECT(ADDRESS(MATCH($A39,【全期間】成果表実測値!$B:$B,0),AJ$31,4,TRUE,"【全期間】成果表実測値"))),"")</f>
        <v/>
      </c>
      <c r="AK39" s="282" t="str">
        <f ca="1">IFERROR(IF(INDIRECT(ADDRESS(MATCH($A39,【全期間】成果表実測値!$B:$B,0),AK$31,4,TRUE,"【全期間】成果表実測値"))="","",-INDIRECT(ADDRESS(MATCH($A39,【全期間】成果表実測値!$B:$B,0),AK$31,4,TRUE,"【全期間】成果表実測値"))),"")</f>
        <v/>
      </c>
      <c r="AL39" s="283" t="str">
        <f ca="1">IFERROR(IF(INDIRECT(ADDRESS(MATCH($A39,【全期間】成果表実測値!$B:$B,0),AL$31,4,TRUE,"【全期間】成果表実測値"))="","",-INDIRECT(ADDRESS(MATCH($A39,【全期間】成果表実測値!$B:$B,0),AL$31,4,TRUE,"【全期間】成果表実測値"))),"")</f>
        <v/>
      </c>
      <c r="AM39" s="281">
        <f ca="1">IFERROR(IF(INDIRECT(ADDRESS(MATCH($A39,【全期間】成果表実測値!$B:$B,0),AM$31,4,TRUE,"【全期間】成果表実測値"))="","",-INDIRECT(ADDRESS(MATCH($A39,【全期間】成果表実測値!$B:$B,0),AM$31,4,TRUE,"【全期間】成果表実測値"))),"")</f>
        <v>-58.1</v>
      </c>
      <c r="AN39" s="282">
        <f ca="1">IFERROR(IF(INDIRECT(ADDRESS(MATCH($A39,【全期間】成果表実測値!$B:$B,0),AN$31,4,TRUE,"【全期間】成果表実測値"))="","",-INDIRECT(ADDRESS(MATCH($A39,【全期間】成果表実測値!$B:$B,0),AN$31,4,TRUE,"【全期間】成果表実測値"))),"")</f>
        <v>1.2</v>
      </c>
      <c r="AO39" s="282" t="str">
        <f ca="1">IFERROR(IF(INDIRECT(ADDRESS(MATCH($A39,【全期間】成果表実測値!$B:$B,0),AO$31,4,TRUE,"【全期間】成果表実測値"))="","",-INDIRECT(ADDRESS(MATCH($A39,【全期間】成果表実測値!$B:$B,0),AO$31,4,TRUE,"【全期間】成果表実測値"))),"")</f>
        <v/>
      </c>
      <c r="AP39" s="282" t="str">
        <f ca="1">IFERROR(IF(INDIRECT(ADDRESS(MATCH($A39,【全期間】成果表実測値!$B:$B,0),AP$31,4,TRUE,"【全期間】成果表実測値"))="","",-INDIRECT(ADDRESS(MATCH($A39,【全期間】成果表実測値!$B:$B,0),AP$31,4,TRUE,"【全期間】成果表実測値"))),"")</f>
        <v/>
      </c>
      <c r="AQ39" s="283" t="str">
        <f ca="1">IFERROR(IF(INDIRECT(ADDRESS(MATCH($A39,【全期間】成果表実測値!$B:$B,0),AQ$31,4,TRUE,"【全期間】成果表実測値"))="","",-INDIRECT(ADDRESS(MATCH($A39,【全期間】成果表実測値!$B:$B,0),AQ$31,4,TRUE,"【全期間】成果表実測値"))),"")</f>
        <v/>
      </c>
      <c r="AR39" s="281">
        <f ca="1">IFERROR(IF(INDIRECT(ADDRESS(MATCH($A39,【全期間】成果表実測値!$B:$B,0),AR$31,4,TRUE,"【全期間】成果表実測値"))="","",-INDIRECT(ADDRESS(MATCH($A39,【全期間】成果表実測値!$B:$B,0),AR$31,4,TRUE,"【全期間】成果表実測値"))),"")</f>
        <v>-12.8</v>
      </c>
      <c r="AS39" s="282" t="str">
        <f ca="1">IFERROR(IF(INDIRECT(ADDRESS(MATCH($A39,【全期間】成果表実測値!$B:$B,0),AS$31,4,TRUE,"【全期間】成果表実測値"))="","",-INDIRECT(ADDRESS(MATCH($A39,【全期間】成果表実測値!$B:$B,0),AS$31,4,TRUE,"【全期間】成果表実測値"))),"")</f>
        <v/>
      </c>
      <c r="AT39" s="282">
        <f ca="1">IFERROR(IF(INDIRECT(ADDRESS(MATCH($A39,【全期間】成果表実測値!$B:$B,0),AT$31,4,TRUE,"【全期間】成果表実測値"))="","",-INDIRECT(ADDRESS(MATCH($A39,【全期間】成果表実測値!$B:$B,0),AT$31,4,TRUE,"【全期間】成果表実測値"))),"")</f>
        <v>-6</v>
      </c>
      <c r="AU39" s="282" t="str">
        <f ca="1">IFERROR(IF(INDIRECT(ADDRESS(MATCH($A39,【全期間】成果表実測値!$B:$B,0),AU$31,4,TRUE,"【全期間】成果表実測値"))="","",-INDIRECT(ADDRESS(MATCH($A39,【全期間】成果表実測値!$B:$B,0),AU$31,4,TRUE,"【全期間】成果表実測値"))),"")</f>
        <v/>
      </c>
      <c r="AV39" s="544" t="str">
        <f ca="1">IFERROR(IF(INDIRECT(ADDRESS(MATCH($A39,【全期間】成果表実測値!$B:$B,0),AV$31,4,TRUE,"【全期間】成果表実測値"))="","",-INDIRECT(ADDRESS(MATCH($A39,【全期間】成果表実測値!$B:$B,0),AV$31,4,TRUE,"【全期間】成果表実測値"))),"")</f>
        <v/>
      </c>
      <c r="AW39" s="552">
        <f ca="1">IFERROR(IF(INDIRECT(ADDRESS(MATCH($A39,【全期間】成果表実測値!$B:$B,0),AW$31,4,TRUE,"【全期間】成果表実測値"))="","",-INDIRECT(ADDRESS(MATCH($A39,【全期間】成果表実測値!$B:$B,0),AW$31,4,TRUE,"【全期間】成果表実測値"))),"")</f>
        <v>-8.9000000000005741</v>
      </c>
      <c r="AX39" s="282" t="str">
        <f ca="1">IFERROR(IF(INDIRECT(ADDRESS(MATCH($A39,【全期間】成果表実測値!$B:$B,0),AX$31,4,TRUE,"【全期間】成果表実測値"))="","",-INDIRECT(ADDRESS(MATCH($A39,【全期間】成果表実測値!$B:$B,0),AX$31,4,TRUE,"【全期間】成果表実測値"))),"")</f>
        <v/>
      </c>
      <c r="AY39" s="475">
        <f ca="1">IFERROR(IF(INDIRECT(ADDRESS(MATCH($A39,【全期間】成果表実測値!$B:$B,0),AY$31,4,TRUE,"【全期間】成果表実測値"))="","",-INDIRECT(ADDRESS(MATCH($A39,【全期間】成果表実測値!$B:$B,0),AY$31,4,TRUE,"【全期間】成果表実測値"))),"")</f>
        <v>-15.799999999999592</v>
      </c>
      <c r="AZ39" s="282" t="str">
        <f ca="1">IFERROR(IF(INDIRECT(ADDRESS(MATCH($A39,【全期間】成果表実測値!$B:$B,0),AZ$31,4,TRUE,"【全期間】成果表実測値"))="","",-INDIRECT(ADDRESS(MATCH($A39,【全期間】成果表実測値!$B:$B,0),AZ$31,4,TRUE,"【全期間】成果表実測値"))),"")</f>
        <v/>
      </c>
      <c r="BA39" s="283">
        <f ca="1">IFERROR(IF(INDIRECT(ADDRESS(MATCH($A39,【全期間】成果表実測値!$B:$B,0),BA$31,4,TRUE,"【全期間】成果表実測値"))="","",-INDIRECT(ADDRESS(MATCH($A39,【全期間】成果表実測値!$B:$B,0),BA$31,4,TRUE,"【全期間】成果表実測値"))),"")</f>
        <v>-3.5999999999996035</v>
      </c>
      <c r="BB39" s="642" t="str">
        <f ca="1">IFERROR(IF(INDIRECT(ADDRESS(MATCH($A39,【全期間】成果表実測値!$B:$B,0),BB$31,4,TRUE,"【全期間】成果表実測値"))="","",-INDIRECT(ADDRESS(MATCH($A39,【全期間】成果表実測値!$B:$B,0),BB$31,4,TRUE,"【全期間】成果表実測値"))),"")</f>
        <v/>
      </c>
    </row>
    <row r="40" spans="1:54">
      <c r="A40" s="305" t="str">
        <f t="shared" si="5"/>
        <v>85-01</v>
      </c>
      <c r="B40" s="263" t="str">
        <f t="shared" si="7"/>
        <v>７.東)東苗穂7条2丁目</v>
      </c>
      <c r="C40" s="298" t="str">
        <f t="shared" ca="1" si="7"/>
        <v>札苗小学校</v>
      </c>
      <c r="D40" s="397"/>
      <c r="E40" s="398"/>
      <c r="F40" s="320">
        <v>0</v>
      </c>
      <c r="G40" s="282">
        <f ca="1">IFERROR(IF(INDIRECT(ADDRESS(MATCH($A40,【全期間】成果表実測値!$B:$B,0),G$31,4,TRUE,"【全期間】成果表実測値"))="","",-INDIRECT(ADDRESS(MATCH($A40,【全期間】成果表実測値!$B:$B,0),G$31,4,TRUE,"【全期間】成果表実測値"))),"")</f>
        <v>-16.5</v>
      </c>
      <c r="H40" s="282">
        <f ca="1">IFERROR(IF(INDIRECT(ADDRESS(MATCH($A40,【全期間】成果表実測値!$B:$B,0),H$31,4,TRUE,"【全期間】成果表実測値"))="","",-INDIRECT(ADDRESS(MATCH($A40,【全期間】成果表実測値!$B:$B,0),H$31,4,TRUE,"【全期間】成果表実測値"))),"")</f>
        <v>-1.4</v>
      </c>
      <c r="I40" s="282">
        <f ca="1">IFERROR(IF(INDIRECT(ADDRESS(MATCH($A40,【全期間】成果表実測値!$B:$B,0),I$31,4,TRUE,"【全期間】成果表実測値"))="","",-INDIRECT(ADDRESS(MATCH($A40,【全期間】成果表実測値!$B:$B,0),I$31,4,TRUE,"【全期間】成果表実測値"))),"")</f>
        <v>-53.8</v>
      </c>
      <c r="J40" s="283">
        <f ca="1">IFERROR(IF(INDIRECT(ADDRESS(MATCH($A40,【全期間】成果表実測値!$B:$B,0),J$31,4,TRUE,"【全期間】成果表実測値"))="","",-INDIRECT(ADDRESS(MATCH($A40,【全期間】成果表実測値!$B:$B,0),J$31,4,TRUE,"【全期間】成果表実測値"))),"")</f>
        <v>-75.400000000000006</v>
      </c>
      <c r="K40" s="281">
        <f ca="1">IFERROR(IF(INDIRECT(ADDRESS(MATCH($A40,【全期間】成果表実測値!$B:$B,0),K$31,4,TRUE,"【全期間】成果表実測値"))="","",-INDIRECT(ADDRESS(MATCH($A40,【全期間】成果表実測値!$B:$B,0),K$31,4,TRUE,"【全期間】成果表実測値"))),"")</f>
        <v>-18.7</v>
      </c>
      <c r="L40" s="282">
        <f ca="1">IFERROR(IF(INDIRECT(ADDRESS(MATCH($A40,【全期間】成果表実測値!$B:$B,0),L$31,4,TRUE,"【全期間】成果表実測値"))="","",-INDIRECT(ADDRESS(MATCH($A40,【全期間】成果表実測値!$B:$B,0),L$31,4,TRUE,"【全期間】成果表実測値"))),"")</f>
        <v>-12.3</v>
      </c>
      <c r="M40" s="282">
        <f ca="1">IFERROR(IF(INDIRECT(ADDRESS(MATCH($A40,【全期間】成果表実測値!$B:$B,0),M$31,4,TRUE,"【全期間】成果表実測値"))="","",-INDIRECT(ADDRESS(MATCH($A40,【全期間】成果表実測値!$B:$B,0),M$31,4,TRUE,"【全期間】成果表実測値"))),"")</f>
        <v>-43.5</v>
      </c>
      <c r="N40" s="282">
        <f ca="1">IFERROR(IF(INDIRECT(ADDRESS(MATCH($A40,【全期間】成果表実測値!$B:$B,0),N$31,4,TRUE,"【全期間】成果表実測値"))="","",-INDIRECT(ADDRESS(MATCH($A40,【全期間】成果表実測値!$B:$B,0),N$31,4,TRUE,"【全期間】成果表実測値"))),"")</f>
        <v>-51.6</v>
      </c>
      <c r="O40" s="283">
        <f ca="1">IFERROR(IF(INDIRECT(ADDRESS(MATCH($A40,【全期間】成果表実測値!$B:$B,0),O$31,4,TRUE,"【全期間】成果表実測値"))="","",-INDIRECT(ADDRESS(MATCH($A40,【全期間】成果表実測値!$B:$B,0),O$31,4,TRUE,"【全期間】成果表実測値"))),"")</f>
        <v>-67.5</v>
      </c>
      <c r="P40" s="281" t="str">
        <f ca="1">IFERROR(IF(INDIRECT(ADDRESS(MATCH($A40,【全期間】成果表実測値!$B:$B,0),P$31,4,TRUE,"【全期間】成果表実測値"))="","",-INDIRECT(ADDRESS(MATCH($A40,【全期間】成果表実測値!$B:$B,0),P$31,4,TRUE,"【全期間】成果表実測値"))),"")</f>
        <v/>
      </c>
      <c r="Q40" s="282" t="str">
        <f ca="1">IFERROR(IF(INDIRECT(ADDRESS(MATCH($A40,【全期間】成果表実測値!$B:$B,0),Q$31,4,TRUE,"【全期間】成果表実測値"))="","",-INDIRECT(ADDRESS(MATCH($A40,【全期間】成果表実測値!$B:$B,0),Q$31,4,TRUE,"【全期間】成果表実測値"))),"")</f>
        <v/>
      </c>
      <c r="R40" s="282" t="str">
        <f ca="1">IFERROR(IF(INDIRECT(ADDRESS(MATCH($A40,【全期間】成果表実測値!$B:$B,0),R$31,4,TRUE,"【全期間】成果表実測値"))="","",-INDIRECT(ADDRESS(MATCH($A40,【全期間】成果表実測値!$B:$B,0),R$31,4,TRUE,"【全期間】成果表実測値"))),"")</f>
        <v/>
      </c>
      <c r="S40" s="283" t="str">
        <f ca="1">IFERROR(IF(INDIRECT(ADDRESS(MATCH($A40,【全期間】成果表実測値!$B:$B,0),S$31,4,TRUE,"【全期間】成果表実測値"))="","",-INDIRECT(ADDRESS(MATCH($A40,【全期間】成果表実測値!$B:$B,0),S$31,4,TRUE,"【全期間】成果表実測値"))),"")</f>
        <v/>
      </c>
      <c r="T40" s="281" t="str">
        <f ca="1">IFERROR(IF(INDIRECT(ADDRESS(MATCH($A40,【全期間】成果表実測値!$B:$B,0),T$31,4,TRUE,"【全期間】成果表実測値"))="","",-INDIRECT(ADDRESS(MATCH($A40,【全期間】成果表実測値!$B:$B,0),T$31,4,TRUE,"【全期間】成果表実測値"))),"")</f>
        <v/>
      </c>
      <c r="U40" s="282">
        <f ca="1">IFERROR(IF(INDIRECT(ADDRESS(MATCH($A40,【全期間】成果表実測値!$B:$B,0),U$31,4,TRUE,"【全期間】成果表実測値"))="","",-INDIRECT(ADDRESS(MATCH($A40,【全期間】成果表実測値!$B:$B,0),U$31,4,TRUE,"【全期間】成果表実測値"))),"")</f>
        <v>-47.1</v>
      </c>
      <c r="V40" s="282" t="str">
        <f ca="1">IFERROR(IF(INDIRECT(ADDRESS(MATCH($A40,【全期間】成果表実測値!$B:$B,0),V$31,4,TRUE,"【全期間】成果表実測値"))="","",-INDIRECT(ADDRESS(MATCH($A40,【全期間】成果表実測値!$B:$B,0),V$31,4,TRUE,"【全期間】成果表実測値"))),"")</f>
        <v/>
      </c>
      <c r="W40" s="283" t="str">
        <f ca="1">IFERROR(IF(INDIRECT(ADDRESS(MATCH($A40,【全期間】成果表実測値!$B:$B,0),W$31,4,TRUE,"【全期間】成果表実測値"))="","",-INDIRECT(ADDRESS(MATCH($A40,【全期間】成果表実測値!$B:$B,0),W$31,4,TRUE,"【全期間】成果表実測値"))),"")</f>
        <v/>
      </c>
      <c r="X40" s="281">
        <f ca="1">IFERROR(IF(INDIRECT(ADDRESS(MATCH($A40,【全期間】成果表実測値!$B:$B,0),X$31,4,TRUE,"【全期間】成果表実測値"))="","",-INDIRECT(ADDRESS(MATCH($A40,【全期間】成果表実測値!$B:$B,0),X$31,4,TRUE,"【全期間】成果表実測値"))),"")</f>
        <v>-19.5</v>
      </c>
      <c r="Y40" s="282" t="str">
        <f ca="1">IFERROR(IF(INDIRECT(ADDRESS(MATCH($A40,【全期間】成果表実測値!$B:$B,0),Y$31,4,TRUE,"【全期間】成果表実測値"))="","",-INDIRECT(ADDRESS(MATCH($A40,【全期間】成果表実測値!$B:$B,0),Y$31,4,TRUE,"【全期間】成果表実測値"))),"")</f>
        <v/>
      </c>
      <c r="Z40" s="282" t="str">
        <f ca="1">IFERROR(IF(INDIRECT(ADDRESS(MATCH($A40,【全期間】成果表実測値!$B:$B,0),Z$31,4,TRUE,"【全期間】成果表実測値"))="","",-INDIRECT(ADDRESS(MATCH($A40,【全期間】成果表実測値!$B:$B,0),Z$31,4,TRUE,"【全期間】成果表実測値"))),"")</f>
        <v/>
      </c>
      <c r="AA40" s="282">
        <f ca="1">IFERROR(IF(INDIRECT(ADDRESS(MATCH($A40,【全期間】成果表実測値!$B:$B,0),AA$31,4,TRUE,"【全期間】成果表実測値"))="","",-INDIRECT(ADDRESS(MATCH($A40,【全期間】成果表実測値!$B:$B,0),AA$31,4,TRUE,"【全期間】成果表実測値"))),"")</f>
        <v>-24.2</v>
      </c>
      <c r="AB40" s="283" t="str">
        <f ca="1">IFERROR(IF(INDIRECT(ADDRESS(MATCH($A40,【全期間】成果表実測値!$B:$B,0),AB$31,4,TRUE,"【全期間】成果表実測値"))="","",-INDIRECT(ADDRESS(MATCH($A40,【全期間】成果表実測値!$B:$B,0),AB$31,4,TRUE,"【全期間】成果表実測値"))),"")</f>
        <v/>
      </c>
      <c r="AC40" s="281" t="str">
        <f ca="1">IFERROR(IF(INDIRECT(ADDRESS(MATCH($A40,【全期間】成果表実測値!$B:$B,0),AC$31,4,TRUE,"【全期間】成果表実測値"))="","",-INDIRECT(ADDRESS(MATCH($A40,【全期間】成果表実測値!$B:$B,0),AC$31,4,TRUE,"【全期間】成果表実測値"))),"")</f>
        <v/>
      </c>
      <c r="AD40" s="282" t="str">
        <f ca="1">IFERROR(IF(INDIRECT(ADDRESS(MATCH($A40,【全期間】成果表実測値!$B:$B,0),AD$31,4,TRUE,"【全期間】成果表実測値"))="","",-INDIRECT(ADDRESS(MATCH($A40,【全期間】成果表実測値!$B:$B,0),AD$31,4,TRUE,"【全期間】成果表実測値"))),"")</f>
        <v/>
      </c>
      <c r="AE40" s="282" t="str">
        <f ca="1">IFERROR(IF(INDIRECT(ADDRESS(MATCH($A40,【全期間】成果表実測値!$B:$B,0),AE$31,4,TRUE,"【全期間】成果表実測値"))="","",-INDIRECT(ADDRESS(MATCH($A40,【全期間】成果表実測値!$B:$B,0),AE$31,4,TRUE,"【全期間】成果表実測値"))),"")</f>
        <v/>
      </c>
      <c r="AF40" s="282" t="str">
        <f ca="1">IFERROR(IF(INDIRECT(ADDRESS(MATCH($A40,【全期間】成果表実測値!$B:$B,0),AF$31,4,TRUE,"【全期間】成果表実測値"))="","",-INDIRECT(ADDRESS(MATCH($A40,【全期間】成果表実測値!$B:$B,0),AF$31,4,TRUE,"【全期間】成果表実測値"))),"")</f>
        <v/>
      </c>
      <c r="AG40" s="283">
        <f ca="1">IFERROR(IF(INDIRECT(ADDRESS(MATCH($A40,【全期間】成果表実測値!$B:$B,0),AG$31,4,TRUE,"【全期間】成果表実測値"))="","",-INDIRECT(ADDRESS(MATCH($A40,【全期間】成果表実測値!$B:$B,0),AG$31,4,TRUE,"【全期間】成果表実測値"))),"")</f>
        <v>-33.5</v>
      </c>
      <c r="AH40" s="281" t="str">
        <f ca="1">IFERROR(IF(INDIRECT(ADDRESS(MATCH($A40,【全期間】成果表実測値!$B:$B,0),AH$31,4,TRUE,"【全期間】成果表実測値"))="","",-INDIRECT(ADDRESS(MATCH($A40,【全期間】成果表実測値!$B:$B,0),AH$31,4,TRUE,"【全期間】成果表実測値"))),"")</f>
        <v/>
      </c>
      <c r="AI40" s="282" t="str">
        <f ca="1">IFERROR(IF(INDIRECT(ADDRESS(MATCH($A40,【全期間】成果表実測値!$B:$B,0),AI$31,4,TRUE,"【全期間】成果表実測値"))="","",-INDIRECT(ADDRESS(MATCH($A40,【全期間】成果表実測値!$B:$B,0),AI$31,4,TRUE,"【全期間】成果表実測値"))),"")</f>
        <v/>
      </c>
      <c r="AJ40" s="282" t="str">
        <f ca="1">IFERROR(IF(INDIRECT(ADDRESS(MATCH($A40,【全期間】成果表実測値!$B:$B,0),AJ$31,4,TRUE,"【全期間】成果表実測値"))="","",-INDIRECT(ADDRESS(MATCH($A40,【全期間】成果表実測値!$B:$B,0),AJ$31,4,TRUE,"【全期間】成果表実測値"))),"")</f>
        <v/>
      </c>
      <c r="AK40" s="282" t="str">
        <f ca="1">IFERROR(IF(INDIRECT(ADDRESS(MATCH($A40,【全期間】成果表実測値!$B:$B,0),AK$31,4,TRUE,"【全期間】成果表実測値"))="","",-INDIRECT(ADDRESS(MATCH($A40,【全期間】成果表実測値!$B:$B,0),AK$31,4,TRUE,"【全期間】成果表実測値"))),"")</f>
        <v/>
      </c>
      <c r="AL40" s="283">
        <f ca="1">IFERROR(IF(INDIRECT(ADDRESS(MATCH($A40,【全期間】成果表実測値!$B:$B,0),AL$31,4,TRUE,"【全期間】成果表実測値"))="","",-INDIRECT(ADDRESS(MATCH($A40,【全期間】成果表実測値!$B:$B,0),AL$31,4,TRUE,"【全期間】成果表実測値"))),"")</f>
        <v>-47.5</v>
      </c>
      <c r="AM40" s="281">
        <f ca="1">IFERROR(IF(INDIRECT(ADDRESS(MATCH($A40,【全期間】成果表実測値!$B:$B,0),AM$31,4,TRUE,"【全期間】成果表実測値"))="","",-INDIRECT(ADDRESS(MATCH($A40,【全期間】成果表実測値!$B:$B,0),AM$31,4,TRUE,"【全期間】成果表実測値"))),"")</f>
        <v>-13.3</v>
      </c>
      <c r="AN40" s="282" t="str">
        <f ca="1">IFERROR(IF(INDIRECT(ADDRESS(MATCH($A40,【全期間】成果表実測値!$B:$B,0),AN$31,4,TRUE,"【全期間】成果表実測値"))="","",-INDIRECT(ADDRESS(MATCH($A40,【全期間】成果表実測値!$B:$B,0),AN$31,4,TRUE,"【全期間】成果表実測値"))),"")</f>
        <v/>
      </c>
      <c r="AO40" s="282">
        <f ca="1">IFERROR(IF(INDIRECT(ADDRESS(MATCH($A40,【全期間】成果表実測値!$B:$B,0),AO$31,4,TRUE,"【全期間】成果表実測値"))="","",-INDIRECT(ADDRESS(MATCH($A40,【全期間】成果表実測値!$B:$B,0),AO$31,4,TRUE,"【全期間】成果表実測値"))),"")</f>
        <v>-40.6</v>
      </c>
      <c r="AP40" s="282">
        <f ca="1">IFERROR(IF(INDIRECT(ADDRESS(MATCH($A40,【全期間】成果表実測値!$B:$B,0),AP$31,4,TRUE,"【全期間】成果表実測値"))="","",-INDIRECT(ADDRESS(MATCH($A40,【全期間】成果表実測値!$B:$B,0),AP$31,4,TRUE,"【全期間】成果表実測値"))),"")</f>
        <v>-16.2</v>
      </c>
      <c r="AQ40" s="283" t="str">
        <f ca="1">IFERROR(IF(INDIRECT(ADDRESS(MATCH($A40,【全期間】成果表実測値!$B:$B,0),AQ$31,4,TRUE,"【全期間】成果表実測値"))="","",-INDIRECT(ADDRESS(MATCH($A40,【全期間】成果表実測値!$B:$B,0),AQ$31,4,TRUE,"【全期間】成果表実測値"))),"")</f>
        <v/>
      </c>
      <c r="AR40" s="281" t="str">
        <f ca="1">IFERROR(IF(INDIRECT(ADDRESS(MATCH($A40,【全期間】成果表実測値!$B:$B,0),AR$31,4,TRUE,"【全期間】成果表実測値"))="","",-INDIRECT(ADDRESS(MATCH($A40,【全期間】成果表実測値!$B:$B,0),AR$31,4,TRUE,"【全期間】成果表実測値"))),"")</f>
        <v/>
      </c>
      <c r="AS40" s="282">
        <f ca="1">IFERROR(IF(INDIRECT(ADDRESS(MATCH($A40,【全期間】成果表実測値!$B:$B,0),AS$31,4,TRUE,"【全期間】成果表実測値"))="","",-INDIRECT(ADDRESS(MATCH($A40,【全期間】成果表実測値!$B:$B,0),AS$31,4,TRUE,"【全期間】成果表実測値"))),"")</f>
        <v>-15.6</v>
      </c>
      <c r="AT40" s="282" t="str">
        <f ca="1">IFERROR(IF(INDIRECT(ADDRESS(MATCH($A40,【全期間】成果表実測値!$B:$B,0),AT$31,4,TRUE,"【全期間】成果表実測値"))="","",-INDIRECT(ADDRESS(MATCH($A40,【全期間】成果表実測値!$B:$B,0),AT$31,4,TRUE,"【全期間】成果表実測値"))),"")</f>
        <v/>
      </c>
      <c r="AU40" s="282" t="str">
        <f ca="1">IFERROR(IF(INDIRECT(ADDRESS(MATCH($A40,【全期間】成果表実測値!$B:$B,0),AU$31,4,TRUE,"【全期間】成果表実測値"))="","",-INDIRECT(ADDRESS(MATCH($A40,【全期間】成果表実測値!$B:$B,0),AU$31,4,TRUE,"【全期間】成果表実測値"))),"")</f>
        <v/>
      </c>
      <c r="AV40" s="544" t="str">
        <f ca="1">IFERROR(IF(INDIRECT(ADDRESS(MATCH($A40,【全期間】成果表実測値!$B:$B,0),AV$31,4,TRUE,"【全期間】成果表実測値"))="","",-INDIRECT(ADDRESS(MATCH($A40,【全期間】成果表実測値!$B:$B,0),AV$31,4,TRUE,"【全期間】成果表実測値"))),"")</f>
        <v/>
      </c>
      <c r="AW40" s="552" t="str">
        <f ca="1">IFERROR(IF(INDIRECT(ADDRESS(MATCH($A40,【全期間】成果表実測値!$B:$B,0),AW$31,4,TRUE,"【全期間】成果表実測値"))="","",-INDIRECT(ADDRESS(MATCH($A40,【全期間】成果表実測値!$B:$B,0),AW$31,4,TRUE,"【全期間】成果表実測値"))),"")</f>
        <v/>
      </c>
      <c r="AX40" s="282">
        <f ca="1">IFERROR(IF(INDIRECT(ADDRESS(MATCH($A40,【全期間】成果表実測値!$B:$B,0),AX$31,4,TRUE,"【全期間】成果表実測値"))="","",-INDIRECT(ADDRESS(MATCH($A40,【全期間】成果表実測値!$B:$B,0),AX$31,4,TRUE,"【全期間】成果表実測値"))),"")</f>
        <v>-35.300000000000331</v>
      </c>
      <c r="AY40" s="475" t="str">
        <f ca="1">IFERROR(IF(INDIRECT(ADDRESS(MATCH($A40,【全期間】成果表実測値!$B:$B,0),AY$31,4,TRUE,"【全期間】成果表実測値"))="","",-INDIRECT(ADDRESS(MATCH($A40,【全期間】成果表実測値!$B:$B,0),AY$31,4,TRUE,"【全期間】成果表実測値"))),"")</f>
        <v/>
      </c>
      <c r="AZ40" s="282" t="str">
        <f ca="1">IFERROR(IF(INDIRECT(ADDRESS(MATCH($A40,【全期間】成果表実測値!$B:$B,0),AZ$31,4,TRUE,"【全期間】成果表実測値"))="","",-INDIRECT(ADDRESS(MATCH($A40,【全期間】成果表実測値!$B:$B,0),AZ$31,4,TRUE,"【全期間】成果表実測値"))),"")</f>
        <v/>
      </c>
      <c r="BA40" s="283">
        <f ca="1">IFERROR(IF(INDIRECT(ADDRESS(MATCH($A40,【全期間】成果表実測値!$B:$B,0),BA$31,4,TRUE,"【全期間】成果表実測値"))="","",-INDIRECT(ADDRESS(MATCH($A40,【全期間】成果表実測値!$B:$B,0),BA$31,4,TRUE,"【全期間】成果表実測値"))),"")</f>
        <v>-15.500000000000291</v>
      </c>
      <c r="BB40" s="642" t="str">
        <f ca="1">IFERROR(IF(INDIRECT(ADDRESS(MATCH($A40,【全期間】成果表実測値!$B:$B,0),BB$31,4,TRUE,"【全期間】成果表実測値"))="","",-INDIRECT(ADDRESS(MATCH($A40,【全期間】成果表実測値!$B:$B,0),BB$31,4,TRUE,"【全期間】成果表実測値"))),"")</f>
        <v/>
      </c>
    </row>
    <row r="41" spans="1:54">
      <c r="A41" s="305" t="str">
        <f t="shared" si="5"/>
        <v>77-02</v>
      </c>
      <c r="B41" s="263" t="str">
        <f t="shared" si="7"/>
        <v>８.北)篠路町福移156番地</v>
      </c>
      <c r="C41" s="298" t="str">
        <f t="shared" ca="1" si="7"/>
        <v>動物管理センター福移支所</v>
      </c>
      <c r="D41" s="397"/>
      <c r="E41" s="398"/>
      <c r="F41" s="399"/>
      <c r="G41" s="399"/>
      <c r="H41" s="399"/>
      <c r="I41" s="399"/>
      <c r="J41" s="320">
        <v>0</v>
      </c>
      <c r="K41" s="281">
        <f ca="1">IFERROR(IF(INDIRECT(ADDRESS(MATCH($A41,【全期間】成果表実測値!$B:$B,0),K$31,4,TRUE,"【全期間】成果表実測値"))="","",-INDIRECT(ADDRESS(MATCH($A41,【全期間】成果表実測値!$B:$B,0),K$31,4,TRUE,"【全期間】成果表実測値"))),"")</f>
        <v>-14.3</v>
      </c>
      <c r="L41" s="282">
        <f ca="1">IFERROR(IF(INDIRECT(ADDRESS(MATCH($A41,【全期間】成果表実測値!$B:$B,0),L$31,4,TRUE,"【全期間】成果表実測値"))="","",-INDIRECT(ADDRESS(MATCH($A41,【全期間】成果表実測値!$B:$B,0),L$31,4,TRUE,"【全期間】成果表実測値"))),"")</f>
        <v>-7.4</v>
      </c>
      <c r="M41" s="282" t="str">
        <f ca="1">IFERROR(IF(INDIRECT(ADDRESS(MATCH($A41,【全期間】成果表実測値!$B:$B,0),M$31,4,TRUE,"【全期間】成果表実測値"))="","",-INDIRECT(ADDRESS(MATCH($A41,【全期間】成果表実測値!$B:$B,0),M$31,4,TRUE,"【全期間】成果表実測値"))),"")</f>
        <v/>
      </c>
      <c r="N41" s="282" t="str">
        <f ca="1">IFERROR(IF(INDIRECT(ADDRESS(MATCH($A41,【全期間】成果表実測値!$B:$B,0),N$31,4,TRUE,"【全期間】成果表実測値"))="","",-INDIRECT(ADDRESS(MATCH($A41,【全期間】成果表実測値!$B:$B,0),N$31,4,TRUE,"【全期間】成果表実測値"))),"")</f>
        <v/>
      </c>
      <c r="O41" s="283" t="str">
        <f ca="1">IFERROR(IF(INDIRECT(ADDRESS(MATCH($A41,【全期間】成果表実測値!$B:$B,0),O$31,4,TRUE,"【全期間】成果表実測値"))="","",-INDIRECT(ADDRESS(MATCH($A41,【全期間】成果表実測値!$B:$B,0),O$31,4,TRUE,"【全期間】成果表実測値"))),"")</f>
        <v/>
      </c>
      <c r="P41" s="281" t="str">
        <f ca="1">IFERROR(IF(INDIRECT(ADDRESS(MATCH($A41,【全期間】成果表実測値!$B:$B,0),P$31,4,TRUE,"【全期間】成果表実測値"))="","",-INDIRECT(ADDRESS(MATCH($A41,【全期間】成果表実測値!$B:$B,0),P$31,4,TRUE,"【全期間】成果表実測値"))),"")</f>
        <v/>
      </c>
      <c r="Q41" s="282" t="str">
        <f ca="1">IFERROR(IF(INDIRECT(ADDRESS(MATCH($A41,【全期間】成果表実測値!$B:$B,0),Q$31,4,TRUE,"【全期間】成果表実測値"))="","",-INDIRECT(ADDRESS(MATCH($A41,【全期間】成果表実測値!$B:$B,0),Q$31,4,TRUE,"【全期間】成果表実測値"))),"")</f>
        <v/>
      </c>
      <c r="R41" s="282" t="str">
        <f ca="1">IFERROR(IF(INDIRECT(ADDRESS(MATCH($A41,【全期間】成果表実測値!$B:$B,0),R$31,4,TRUE,"【全期間】成果表実測値"))="","",-INDIRECT(ADDRESS(MATCH($A41,【全期間】成果表実測値!$B:$B,0),R$31,4,TRUE,"【全期間】成果表実測値"))),"")</f>
        <v/>
      </c>
      <c r="S41" s="283" t="str">
        <f ca="1">IFERROR(IF(INDIRECT(ADDRESS(MATCH($A41,【全期間】成果表実測値!$B:$B,0),S$31,4,TRUE,"【全期間】成果表実測値"))="","",-INDIRECT(ADDRESS(MATCH($A41,【全期間】成果表実測値!$B:$B,0),S$31,4,TRUE,"【全期間】成果表実測値"))),"")</f>
        <v/>
      </c>
      <c r="T41" s="281" t="str">
        <f ca="1">IFERROR(IF(INDIRECT(ADDRESS(MATCH($A41,【全期間】成果表実測値!$B:$B,0),T$31,4,TRUE,"【全期間】成果表実測値"))="","",-INDIRECT(ADDRESS(MATCH($A41,【全期間】成果表実測値!$B:$B,0),T$31,4,TRUE,"【全期間】成果表実測値"))),"")</f>
        <v/>
      </c>
      <c r="U41" s="282" t="str">
        <f ca="1">IFERROR(IF(INDIRECT(ADDRESS(MATCH($A41,【全期間】成果表実測値!$B:$B,0),U$31,4,TRUE,"【全期間】成果表実測値"))="","",-INDIRECT(ADDRESS(MATCH($A41,【全期間】成果表実測値!$B:$B,0),U$31,4,TRUE,"【全期間】成果表実測値"))),"")</f>
        <v/>
      </c>
      <c r="V41" s="282" t="str">
        <f ca="1">IFERROR(IF(INDIRECT(ADDRESS(MATCH($A41,【全期間】成果表実測値!$B:$B,0),V$31,4,TRUE,"【全期間】成果表実測値"))="","",-INDIRECT(ADDRESS(MATCH($A41,【全期間】成果表実測値!$B:$B,0),V$31,4,TRUE,"【全期間】成果表実測値"))),"")</f>
        <v/>
      </c>
      <c r="W41" s="283" t="str">
        <f ca="1">IFERROR(IF(INDIRECT(ADDRESS(MATCH($A41,【全期間】成果表実測値!$B:$B,0),W$31,4,TRUE,"【全期間】成果表実測値"))="","",-INDIRECT(ADDRESS(MATCH($A41,【全期間】成果表実測値!$B:$B,0),W$31,4,TRUE,"【全期間】成果表実測値"))),"")</f>
        <v/>
      </c>
      <c r="X41" s="281" t="str">
        <f ca="1">IFERROR(IF(INDIRECT(ADDRESS(MATCH($A41,【全期間】成果表実測値!$B:$B,0),X$31,4,TRUE,"【全期間】成果表実測値"))="","",-INDIRECT(ADDRESS(MATCH($A41,【全期間】成果表実測値!$B:$B,0),X$31,4,TRUE,"【全期間】成果表実測値"))),"")</f>
        <v/>
      </c>
      <c r="Y41" s="282" t="str">
        <f ca="1">IFERROR(IF(INDIRECT(ADDRESS(MATCH($A41,【全期間】成果表実測値!$B:$B,0),Y$31,4,TRUE,"【全期間】成果表実測値"))="","",-INDIRECT(ADDRESS(MATCH($A41,【全期間】成果表実測値!$B:$B,0),Y$31,4,TRUE,"【全期間】成果表実測値"))),"")</f>
        <v/>
      </c>
      <c r="Z41" s="282" t="str">
        <f ca="1">IFERROR(IF(INDIRECT(ADDRESS(MATCH($A41,【全期間】成果表実測値!$B:$B,0),Z$31,4,TRUE,"【全期間】成果表実測値"))="","",-INDIRECT(ADDRESS(MATCH($A41,【全期間】成果表実測値!$B:$B,0),Z$31,4,TRUE,"【全期間】成果表実測値"))),"")</f>
        <v/>
      </c>
      <c r="AA41" s="282">
        <f ca="1">IFERROR(IF(INDIRECT(ADDRESS(MATCH($A41,【全期間】成果表実測値!$B:$B,0),AA$31,4,TRUE,"【全期間】成果表実測値"))="","",-INDIRECT(ADDRESS(MATCH($A41,【全期間】成果表実測値!$B:$B,0),AA$31,4,TRUE,"【全期間】成果表実測値"))),"")</f>
        <v>-250.2</v>
      </c>
      <c r="AB41" s="283" t="str">
        <f ca="1">IFERROR(IF(INDIRECT(ADDRESS(MATCH($A41,【全期間】成果表実測値!$B:$B,0),AB$31,4,TRUE,"【全期間】成果表実測値"))="","",-INDIRECT(ADDRESS(MATCH($A41,【全期間】成果表実測値!$B:$B,0),AB$31,4,TRUE,"【全期間】成果表実測値"))),"")</f>
        <v/>
      </c>
      <c r="AC41" s="281" t="str">
        <f ca="1">IFERROR(IF(INDIRECT(ADDRESS(MATCH($A41,【全期間】成果表実測値!$B:$B,0),AC$31,4,TRUE,"【全期間】成果表実測値"))="","",-INDIRECT(ADDRESS(MATCH($A41,【全期間】成果表実測値!$B:$B,0),AC$31,4,TRUE,"【全期間】成果表実測値"))),"")</f>
        <v/>
      </c>
      <c r="AD41" s="282" t="str">
        <f ca="1">IFERROR(IF(INDIRECT(ADDRESS(MATCH($A41,【全期間】成果表実測値!$B:$B,0),AD$31,4,TRUE,"【全期間】成果表実測値"))="","",-INDIRECT(ADDRESS(MATCH($A41,【全期間】成果表実測値!$B:$B,0),AD$31,4,TRUE,"【全期間】成果表実測値"))),"")</f>
        <v/>
      </c>
      <c r="AE41" s="282" t="str">
        <f ca="1">IFERROR(IF(INDIRECT(ADDRESS(MATCH($A41,【全期間】成果表実測値!$B:$B,0),AE$31,4,TRUE,"【全期間】成果表実測値"))="","",-INDIRECT(ADDRESS(MATCH($A41,【全期間】成果表実測値!$B:$B,0),AE$31,4,TRUE,"【全期間】成果表実測値"))),"")</f>
        <v/>
      </c>
      <c r="AF41" s="282" t="str">
        <f ca="1">IFERROR(IF(INDIRECT(ADDRESS(MATCH($A41,【全期間】成果表実測値!$B:$B,0),AF$31,4,TRUE,"【全期間】成果表実測値"))="","",-INDIRECT(ADDRESS(MATCH($A41,【全期間】成果表実測値!$B:$B,0),AF$31,4,TRUE,"【全期間】成果表実測値"))),"")</f>
        <v/>
      </c>
      <c r="AG41" s="283" t="str">
        <f ca="1">IFERROR(IF(INDIRECT(ADDRESS(MATCH($A41,【全期間】成果表実測値!$B:$B,0),AG$31,4,TRUE,"【全期間】成果表実測値"))="","",-INDIRECT(ADDRESS(MATCH($A41,【全期間】成果表実測値!$B:$B,0),AG$31,4,TRUE,"【全期間】成果表実測値"))),"")</f>
        <v/>
      </c>
      <c r="AH41" s="281">
        <f ca="1">IFERROR(IF(INDIRECT(ADDRESS(MATCH($A41,【全期間】成果表実測値!$B:$B,0),AH$31,4,TRUE,"【全期間】成果表実測値"))="","",-INDIRECT(ADDRESS(MATCH($A41,【全期間】成果表実測値!$B:$B,0),AH$31,4,TRUE,"【全期間】成果表実測値"))),"")</f>
        <v>-82.2</v>
      </c>
      <c r="AI41" s="282" t="str">
        <f ca="1">IFERROR(IF(INDIRECT(ADDRESS(MATCH($A41,【全期間】成果表実測値!$B:$B,0),AI$31,4,TRUE,"【全期間】成果表実測値"))="","",-INDIRECT(ADDRESS(MATCH($A41,【全期間】成果表実測値!$B:$B,0),AI$31,4,TRUE,"【全期間】成果表実測値"))),"")</f>
        <v/>
      </c>
      <c r="AJ41" s="282" t="str">
        <f ca="1">IFERROR(IF(INDIRECT(ADDRESS(MATCH($A41,【全期間】成果表実測値!$B:$B,0),AJ$31,4,TRUE,"【全期間】成果表実測値"))="","",-INDIRECT(ADDRESS(MATCH($A41,【全期間】成果表実測値!$B:$B,0),AJ$31,4,TRUE,"【全期間】成果表実測値"))),"")</f>
        <v/>
      </c>
      <c r="AK41" s="282" t="str">
        <f ca="1">IFERROR(IF(INDIRECT(ADDRESS(MATCH($A41,【全期間】成果表実測値!$B:$B,0),AK$31,4,TRUE,"【全期間】成果表実測値"))="","",-INDIRECT(ADDRESS(MATCH($A41,【全期間】成果表実測値!$B:$B,0),AK$31,4,TRUE,"【全期間】成果表実測値"))),"")</f>
        <v/>
      </c>
      <c r="AL41" s="283">
        <f ca="1">IFERROR(IF(INDIRECT(ADDRESS(MATCH($A41,【全期間】成果表実測値!$B:$B,0),AL$31,4,TRUE,"【全期間】成果表実測値"))="","",-INDIRECT(ADDRESS(MATCH($A41,【全期間】成果表実測値!$B:$B,0),AL$31,4,TRUE,"【全期間】成果表実測値"))),"")</f>
        <v>-118.9</v>
      </c>
      <c r="AM41" s="281">
        <f ca="1">IFERROR(IF(INDIRECT(ADDRESS(MATCH($A41,【全期間】成果表実測値!$B:$B,0),AM$31,4,TRUE,"【全期間】成果表実測値"))="","",-INDIRECT(ADDRESS(MATCH($A41,【全期間】成果表実測値!$B:$B,0),AM$31,4,TRUE,"【全期間】成果表実測値"))),"")</f>
        <v>-44</v>
      </c>
      <c r="AN41" s="282">
        <f ca="1">IFERROR(IF(INDIRECT(ADDRESS(MATCH($A41,【全期間】成果表実測値!$B:$B,0),AN$31,4,TRUE,"【全期間】成果表実測値"))="","",-INDIRECT(ADDRESS(MATCH($A41,【全期間】成果表実測値!$B:$B,0),AN$31,4,TRUE,"【全期間】成果表実測値"))),"")</f>
        <v>-19.2</v>
      </c>
      <c r="AO41" s="282">
        <f ca="1">IFERROR(IF(INDIRECT(ADDRESS(MATCH($A41,【全期間】成果表実測値!$B:$B,0),AO$31,4,TRUE,"【全期間】成果表実測値"))="","",-INDIRECT(ADDRESS(MATCH($A41,【全期間】成果表実測値!$B:$B,0),AO$31,4,TRUE,"【全期間】成果表実測値"))),"")</f>
        <v>-6.6</v>
      </c>
      <c r="AP41" s="282" t="str">
        <f ca="1">IFERROR(IF(INDIRECT(ADDRESS(MATCH($A41,【全期間】成果表実測値!$B:$B,0),AP$31,4,TRUE,"【全期間】成果表実測値"))="","",-INDIRECT(ADDRESS(MATCH($A41,【全期間】成果表実測値!$B:$B,0),AP$31,4,TRUE,"【全期間】成果表実測値"))),"")</f>
        <v/>
      </c>
      <c r="AQ41" s="283">
        <f ca="1">IFERROR(IF(INDIRECT(ADDRESS(MATCH($A41,【全期間】成果表実測値!$B:$B,0),AQ$31,4,TRUE,"【全期間】成果表実測値"))="","",-INDIRECT(ADDRESS(MATCH($A41,【全期間】成果表実測値!$B:$B,0),AQ$31,4,TRUE,"【全期間】成果表実測値"))),"")</f>
        <v>-14.7</v>
      </c>
      <c r="AR41" s="281" t="str">
        <f ca="1">IFERROR(IF(INDIRECT(ADDRESS(MATCH($A41,【全期間】成果表実測値!$B:$B,0),AR$31,4,TRUE,"【全期間】成果表実測値"))="","",-INDIRECT(ADDRESS(MATCH($A41,【全期間】成果表実測値!$B:$B,0),AR$31,4,TRUE,"【全期間】成果表実測値"))),"")</f>
        <v/>
      </c>
      <c r="AS41" s="282">
        <f ca="1">IFERROR(IF(INDIRECT(ADDRESS(MATCH($A41,【全期間】成果表実測値!$B:$B,0),AS$31,4,TRUE,"【全期間】成果表実測値"))="","",-INDIRECT(ADDRESS(MATCH($A41,【全期間】成果表実測値!$B:$B,0),AS$31,4,TRUE,"【全期間】成果表実測値"))),"")</f>
        <v>-15.4</v>
      </c>
      <c r="AT41" s="282" t="str">
        <f ca="1">IFERROR(IF(INDIRECT(ADDRESS(MATCH($A41,【全期間】成果表実測値!$B:$B,0),AT$31,4,TRUE,"【全期間】成果表実測値"))="","",-INDIRECT(ADDRESS(MATCH($A41,【全期間】成果表実測値!$B:$B,0),AT$31,4,TRUE,"【全期間】成果表実測値"))),"")</f>
        <v/>
      </c>
      <c r="AU41" s="282" t="str">
        <f ca="1">IFERROR(IF(INDIRECT(ADDRESS(MATCH($A41,【全期間】成果表実測値!$B:$B,0),AU$31,4,TRUE,"【全期間】成果表実測値"))="","",-INDIRECT(ADDRESS(MATCH($A41,【全期間】成果表実測値!$B:$B,0),AU$31,4,TRUE,"【全期間】成果表実測値"))),"")</f>
        <v/>
      </c>
      <c r="AV41" s="544">
        <f ca="1">IFERROR(IF(INDIRECT(ADDRESS(MATCH($A41,【全期間】成果表実測値!$B:$B,0),AV$31,4,TRUE,"【全期間】成果表実測値"))="","",-INDIRECT(ADDRESS(MATCH($A41,【全期間】成果表実測値!$B:$B,0),AV$31,4,TRUE,"【全期間】成果表実測値"))),"")</f>
        <v>-9.1</v>
      </c>
      <c r="AW41" s="552" t="str">
        <f ca="1">IFERROR(IF(INDIRECT(ADDRESS(MATCH($A41,【全期間】成果表実測値!$B:$B,0),AW$31,4,TRUE,"【全期間】成果表実測値"))="","",-INDIRECT(ADDRESS(MATCH($A41,【全期間】成果表実測値!$B:$B,0),AW$31,4,TRUE,"【全期間】成果表実測値"))),"")</f>
        <v/>
      </c>
      <c r="AX41" s="282">
        <f ca="1">IFERROR(IF(INDIRECT(ADDRESS(MATCH($A41,【全期間】成果表実測値!$B:$B,0),AX$31,4,TRUE,"【全期間】成果表実測値"))="","",-INDIRECT(ADDRESS(MATCH($A41,【全期間】成果表実測値!$B:$B,0),AX$31,4,TRUE,"【全期間】成果表実測値"))),"")</f>
        <v>-9.2999999999996419</v>
      </c>
      <c r="AY41" s="475" t="str">
        <f ca="1">IFERROR(IF(INDIRECT(ADDRESS(MATCH($A41,【全期間】成果表実測値!$B:$B,0),AY$31,4,TRUE,"【全期間】成果表実測値"))="","",-INDIRECT(ADDRESS(MATCH($A41,【全期間】成果表実測値!$B:$B,0),AY$31,4,TRUE,"【全期間】成果表実測値"))),"")</f>
        <v/>
      </c>
      <c r="AZ41" s="282" t="str">
        <f ca="1">IFERROR(IF(INDIRECT(ADDRESS(MATCH($A41,【全期間】成果表実測値!$B:$B,0),AZ$31,4,TRUE,"【全期間】成果表実測値"))="","",-INDIRECT(ADDRESS(MATCH($A41,【全期間】成果表実測値!$B:$B,0),AZ$31,4,TRUE,"【全期間】成果表実測値"))),"")</f>
        <v/>
      </c>
      <c r="BA41" s="283" t="str">
        <f ca="1">IFERROR(IF(INDIRECT(ADDRESS(MATCH($A41,【全期間】成果表実測値!$B:$B,0),BA$31,4,TRUE,"【全期間】成果表実測値"))="","",-INDIRECT(ADDRESS(MATCH($A41,【全期間】成果表実測値!$B:$B,0),BA$31,4,TRUE,"【全期間】成果表実測値"))),"")</f>
        <v/>
      </c>
      <c r="BB41" s="642" t="str">
        <f ca="1">IFERROR(IF(INDIRECT(ADDRESS(MATCH($A41,【全期間】成果表実測値!$B:$B,0),BB$31,4,TRUE,"【全期間】成果表実測値"))="","",-INDIRECT(ADDRESS(MATCH($A41,【全期間】成果表実測値!$B:$B,0),BB$31,4,TRUE,"【全期間】成果表実測値"))),"")</f>
        <v/>
      </c>
    </row>
    <row r="42" spans="1:54">
      <c r="A42" s="305" t="str">
        <f t="shared" si="5"/>
        <v>75-06</v>
      </c>
      <c r="B42" s="263" t="str">
        <f t="shared" si="7"/>
        <v>９.白)北郷3条11丁目</v>
      </c>
      <c r="C42" s="298" t="str">
        <f t="shared" ca="1" si="7"/>
        <v>北都小学校</v>
      </c>
      <c r="D42" s="397"/>
      <c r="E42" s="398"/>
      <c r="F42" s="399"/>
      <c r="G42" s="320">
        <v>0</v>
      </c>
      <c r="H42" s="282">
        <f ca="1">IFERROR(IF(INDIRECT(ADDRESS(MATCH($A42,【全期間】成果表実測値!$B:$B,0),H$31,4,TRUE,"【全期間】成果表実測値"))="","",-INDIRECT(ADDRESS(MATCH($A42,【全期間】成果表実測値!$B:$B,0),H$31,4,TRUE,"【全期間】成果表実測値"))),"")</f>
        <v>-79.599999999999994</v>
      </c>
      <c r="I42" s="282">
        <f ca="1">IFERROR(IF(INDIRECT(ADDRESS(MATCH($A42,【全期間】成果表実測値!$B:$B,0),I$31,4,TRUE,"【全期間】成果表実測値"))="","",-INDIRECT(ADDRESS(MATCH($A42,【全期間】成果表実測値!$B:$B,0),I$31,4,TRUE,"【全期間】成果表実測値"))),"")</f>
        <v>-30.9</v>
      </c>
      <c r="J42" s="283">
        <f ca="1">IFERROR(IF(INDIRECT(ADDRESS(MATCH($A42,【全期間】成果表実測値!$B:$B,0),J$31,4,TRUE,"【全期間】成果表実測値"))="","",-INDIRECT(ADDRESS(MATCH($A42,【全期間】成果表実測値!$B:$B,0),J$31,4,TRUE,"【全期間】成果表実測値"))),"")</f>
        <v>-38.6</v>
      </c>
      <c r="K42" s="281">
        <f ca="1">IFERROR(IF(INDIRECT(ADDRESS(MATCH($A42,【全期間】成果表実測値!$B:$B,0),K$31,4,TRUE,"【全期間】成果表実測値"))="","",-INDIRECT(ADDRESS(MATCH($A42,【全期間】成果表実測値!$B:$B,0),K$31,4,TRUE,"【全期間】成果表実測値"))),"")</f>
        <v>-43.8</v>
      </c>
      <c r="L42" s="282">
        <f ca="1">IFERROR(IF(INDIRECT(ADDRESS(MATCH($A42,【全期間】成果表実測値!$B:$B,0),L$31,4,TRUE,"【全期間】成果表実測値"))="","",-INDIRECT(ADDRESS(MATCH($A42,【全期間】成果表実測値!$B:$B,0),L$31,4,TRUE,"【全期間】成果表実測値"))),"")</f>
        <v>-2.1</v>
      </c>
      <c r="M42" s="282">
        <f ca="1">IFERROR(IF(INDIRECT(ADDRESS(MATCH($A42,【全期間】成果表実測値!$B:$B,0),M$31,4,TRUE,"【全期間】成果表実測値"))="","",-INDIRECT(ADDRESS(MATCH($A42,【全期間】成果表実測値!$B:$B,0),M$31,4,TRUE,"【全期間】成果表実測値"))),"")</f>
        <v>-37.200000000000003</v>
      </c>
      <c r="N42" s="282">
        <f ca="1">IFERROR(IF(INDIRECT(ADDRESS(MATCH($A42,【全期間】成果表実測値!$B:$B,0),N$31,4,TRUE,"【全期間】成果表実測値"))="","",-INDIRECT(ADDRESS(MATCH($A42,【全期間】成果表実測値!$B:$B,0),N$31,4,TRUE,"【全期間】成果表実測値"))),"")</f>
        <v>-21</v>
      </c>
      <c r="O42" s="283">
        <f ca="1">IFERROR(IF(INDIRECT(ADDRESS(MATCH($A42,【全期間】成果表実測値!$B:$B,0),O$31,4,TRUE,"【全期間】成果表実測値"))="","",-INDIRECT(ADDRESS(MATCH($A42,【全期間】成果表実測値!$B:$B,0),O$31,4,TRUE,"【全期間】成果表実測値"))),"")</f>
        <v>-63.5</v>
      </c>
      <c r="P42" s="281" t="str">
        <f ca="1">IFERROR(IF(INDIRECT(ADDRESS(MATCH($A42,【全期間】成果表実測値!$B:$B,0),P$31,4,TRUE,"【全期間】成果表実測値"))="","",-INDIRECT(ADDRESS(MATCH($A42,【全期間】成果表実測値!$B:$B,0),P$31,4,TRUE,"【全期間】成果表実測値"))),"")</f>
        <v/>
      </c>
      <c r="Q42" s="282" t="str">
        <f ca="1">IFERROR(IF(INDIRECT(ADDRESS(MATCH($A42,【全期間】成果表実測値!$B:$B,0),Q$31,4,TRUE,"【全期間】成果表実測値"))="","",-INDIRECT(ADDRESS(MATCH($A42,【全期間】成果表実測値!$B:$B,0),Q$31,4,TRUE,"【全期間】成果表実測値"))),"")</f>
        <v/>
      </c>
      <c r="R42" s="282">
        <f ca="1">IFERROR(IF(INDIRECT(ADDRESS(MATCH($A42,【全期間】成果表実測値!$B:$B,0),R$31,4,TRUE,"【全期間】成果表実測値"))="","",-INDIRECT(ADDRESS(MATCH($A42,【全期間】成果表実測値!$B:$B,0),R$31,4,TRUE,"【全期間】成果表実測値"))),"")</f>
        <v>-30.5</v>
      </c>
      <c r="S42" s="283" t="str">
        <f ca="1">IFERROR(IF(INDIRECT(ADDRESS(MATCH($A42,【全期間】成果表実測値!$B:$B,0),S$31,4,TRUE,"【全期間】成果表実測値"))="","",-INDIRECT(ADDRESS(MATCH($A42,【全期間】成果表実測値!$B:$B,0),S$31,4,TRUE,"【全期間】成果表実測値"))),"")</f>
        <v/>
      </c>
      <c r="T42" s="281" t="str">
        <f ca="1">IFERROR(IF(INDIRECT(ADDRESS(MATCH($A42,【全期間】成果表実測値!$B:$B,0),T$31,4,TRUE,"【全期間】成果表実測値"))="","",-INDIRECT(ADDRESS(MATCH($A42,【全期間】成果表実測値!$B:$B,0),T$31,4,TRUE,"【全期間】成果表実測値"))),"")</f>
        <v/>
      </c>
      <c r="U42" s="282">
        <f ca="1">IFERROR(IF(INDIRECT(ADDRESS(MATCH($A42,【全期間】成果表実測値!$B:$B,0),U$31,4,TRUE,"【全期間】成果表実測値"))="","",-INDIRECT(ADDRESS(MATCH($A42,【全期間】成果表実測値!$B:$B,0),U$31,4,TRUE,"【全期間】成果表実測値"))),"")</f>
        <v>-43.9</v>
      </c>
      <c r="V42" s="282" t="str">
        <f ca="1">IFERROR(IF(INDIRECT(ADDRESS(MATCH($A42,【全期間】成果表実測値!$B:$B,0),V$31,4,TRUE,"【全期間】成果表実測値"))="","",-INDIRECT(ADDRESS(MATCH($A42,【全期間】成果表実測値!$B:$B,0),V$31,4,TRUE,"【全期間】成果表実測値"))),"")</f>
        <v/>
      </c>
      <c r="W42" s="283" t="str">
        <f ca="1">IFERROR(IF(INDIRECT(ADDRESS(MATCH($A42,【全期間】成果表実測値!$B:$B,0),W$31,4,TRUE,"【全期間】成果表実測値"))="","",-INDIRECT(ADDRESS(MATCH($A42,【全期間】成果表実測値!$B:$B,0),W$31,4,TRUE,"【全期間】成果表実測値"))),"")</f>
        <v/>
      </c>
      <c r="X42" s="281">
        <f ca="1">IFERROR(IF(INDIRECT(ADDRESS(MATCH($A42,【全期間】成果表実測値!$B:$B,0),X$31,4,TRUE,"【全期間】成果表実測値"))="","",-INDIRECT(ADDRESS(MATCH($A42,【全期間】成果表実測値!$B:$B,0),X$31,4,TRUE,"【全期間】成果表実測値"))),"")</f>
        <v>-12.3</v>
      </c>
      <c r="Y42" s="282" t="str">
        <f ca="1">IFERROR(IF(INDIRECT(ADDRESS(MATCH($A42,【全期間】成果表実測値!$B:$B,0),Y$31,4,TRUE,"【全期間】成果表実測値"))="","",-INDIRECT(ADDRESS(MATCH($A42,【全期間】成果表実測値!$B:$B,0),Y$31,4,TRUE,"【全期間】成果表実測値"))),"")</f>
        <v/>
      </c>
      <c r="Z42" s="282" t="str">
        <f ca="1">IFERROR(IF(INDIRECT(ADDRESS(MATCH($A42,【全期間】成果表実測値!$B:$B,0),Z$31,4,TRUE,"【全期間】成果表実測値"))="","",-INDIRECT(ADDRESS(MATCH($A42,【全期間】成果表実測値!$B:$B,0),Z$31,4,TRUE,"【全期間】成果表実測値"))),"")</f>
        <v/>
      </c>
      <c r="AA42" s="282">
        <f ca="1">IFERROR(IF(INDIRECT(ADDRESS(MATCH($A42,【全期間】成果表実測値!$B:$B,0),AA$31,4,TRUE,"【全期間】成果表実測値"))="","",-INDIRECT(ADDRESS(MATCH($A42,【全期間】成果表実測値!$B:$B,0),AA$31,4,TRUE,"【全期間】成果表実測値"))),"")</f>
        <v>-9.1999999999999993</v>
      </c>
      <c r="AB42" s="283" t="str">
        <f ca="1">IFERROR(IF(INDIRECT(ADDRESS(MATCH($A42,【全期間】成果表実測値!$B:$B,0),AB$31,4,TRUE,"【全期間】成果表実測値"))="","",-INDIRECT(ADDRESS(MATCH($A42,【全期間】成果表実測値!$B:$B,0),AB$31,4,TRUE,"【全期間】成果表実測値"))),"")</f>
        <v/>
      </c>
      <c r="AC42" s="281" t="str">
        <f ca="1">IFERROR(IF(INDIRECT(ADDRESS(MATCH($A42,【全期間】成果表実測値!$B:$B,0),AC$31,4,TRUE,"【全期間】成果表実測値"))="","",-INDIRECT(ADDRESS(MATCH($A42,【全期間】成果表実測値!$B:$B,0),AC$31,4,TRUE,"【全期間】成果表実測値"))),"")</f>
        <v/>
      </c>
      <c r="AD42" s="282" t="str">
        <f ca="1">IFERROR(IF(INDIRECT(ADDRESS(MATCH($A42,【全期間】成果表実測値!$B:$B,0),AD$31,4,TRUE,"【全期間】成果表実測値"))="","",-INDIRECT(ADDRESS(MATCH($A42,【全期間】成果表実測値!$B:$B,0),AD$31,4,TRUE,"【全期間】成果表実測値"))),"")</f>
        <v/>
      </c>
      <c r="AE42" s="282" t="str">
        <f ca="1">IFERROR(IF(INDIRECT(ADDRESS(MATCH($A42,【全期間】成果表実測値!$B:$B,0),AE$31,4,TRUE,"【全期間】成果表実測値"))="","",-INDIRECT(ADDRESS(MATCH($A42,【全期間】成果表実測値!$B:$B,0),AE$31,4,TRUE,"【全期間】成果表実測値"))),"")</f>
        <v/>
      </c>
      <c r="AF42" s="282" t="str">
        <f ca="1">IFERROR(IF(INDIRECT(ADDRESS(MATCH($A42,【全期間】成果表実測値!$B:$B,0),AF$31,4,TRUE,"【全期間】成果表実測値"))="","",-INDIRECT(ADDRESS(MATCH($A42,【全期間】成果表実測値!$B:$B,0),AF$31,4,TRUE,"【全期間】成果表実測値"))),"")</f>
        <v/>
      </c>
      <c r="AG42" s="283">
        <f ca="1">IFERROR(IF(INDIRECT(ADDRESS(MATCH($A42,【全期間】成果表実測値!$B:$B,0),AG$31,4,TRUE,"【全期間】成果表実測値"))="","",-INDIRECT(ADDRESS(MATCH($A42,【全期間】成果表実測値!$B:$B,0),AG$31,4,TRUE,"【全期間】成果表実測値"))),"")</f>
        <v>-15</v>
      </c>
      <c r="AH42" s="281" t="str">
        <f ca="1">IFERROR(IF(INDIRECT(ADDRESS(MATCH($A42,【全期間】成果表実測値!$B:$B,0),AH$31,4,TRUE,"【全期間】成果表実測値"))="","",-INDIRECT(ADDRESS(MATCH($A42,【全期間】成果表実測値!$B:$B,0),AH$31,4,TRUE,"【全期間】成果表実測値"))),"")</f>
        <v/>
      </c>
      <c r="AI42" s="282" t="str">
        <f ca="1">IFERROR(IF(INDIRECT(ADDRESS(MATCH($A42,【全期間】成果表実測値!$B:$B,0),AI$31,4,TRUE,"【全期間】成果表実測値"))="","",-INDIRECT(ADDRESS(MATCH($A42,【全期間】成果表実測値!$B:$B,0),AI$31,4,TRUE,"【全期間】成果表実測値"))),"")</f>
        <v/>
      </c>
      <c r="AJ42" s="282" t="str">
        <f ca="1">IFERROR(IF(INDIRECT(ADDRESS(MATCH($A42,【全期間】成果表実測値!$B:$B,0),AJ$31,4,TRUE,"【全期間】成果表実測値"))="","",-INDIRECT(ADDRESS(MATCH($A42,【全期間】成果表実測値!$B:$B,0),AJ$31,4,TRUE,"【全期間】成果表実測値"))),"")</f>
        <v/>
      </c>
      <c r="AK42" s="282" t="str">
        <f ca="1">IFERROR(IF(INDIRECT(ADDRESS(MATCH($A42,【全期間】成果表実測値!$B:$B,0),AK$31,4,TRUE,"【全期間】成果表実測値"))="","",-INDIRECT(ADDRESS(MATCH($A42,【全期間】成果表実測値!$B:$B,0),AK$31,4,TRUE,"【全期間】成果表実測値"))),"")</f>
        <v/>
      </c>
      <c r="AL42" s="283" t="str">
        <f ca="1">IFERROR(IF(INDIRECT(ADDRESS(MATCH($A42,【全期間】成果表実測値!$B:$B,0),AL$31,4,TRUE,"【全期間】成果表実測値"))="","",-INDIRECT(ADDRESS(MATCH($A42,【全期間】成果表実測値!$B:$B,0),AL$31,4,TRUE,"【全期間】成果表実測値"))),"")</f>
        <v/>
      </c>
      <c r="AM42" s="281">
        <f ca="1">IFERROR(IF(INDIRECT(ADDRESS(MATCH($A42,【全期間】成果表実測値!$B:$B,0),AM$31,4,TRUE,"【全期間】成果表実測値"))="","",-INDIRECT(ADDRESS(MATCH($A42,【全期間】成果表実測値!$B:$B,0),AM$31,4,TRUE,"【全期間】成果表実測値"))),"")</f>
        <v>-21.5</v>
      </c>
      <c r="AN42" s="282">
        <f ca="1">IFERROR(IF(INDIRECT(ADDRESS(MATCH($A42,【全期間】成果表実測値!$B:$B,0),AN$31,4,TRUE,"【全期間】成果表実測値"))="","",-INDIRECT(ADDRESS(MATCH($A42,【全期間】成果表実測値!$B:$B,0),AN$31,4,TRUE,"【全期間】成果表実測値"))),"")</f>
        <v>1.4</v>
      </c>
      <c r="AO42" s="282" t="str">
        <f ca="1">IFERROR(IF(INDIRECT(ADDRESS(MATCH($A42,【全期間】成果表実測値!$B:$B,0),AO$31,4,TRUE,"【全期間】成果表実測値"))="","",-INDIRECT(ADDRESS(MATCH($A42,【全期間】成果表実測値!$B:$B,0),AO$31,4,TRUE,"【全期間】成果表実測値"))),"")</f>
        <v/>
      </c>
      <c r="AP42" s="282" t="str">
        <f ca="1">IFERROR(IF(INDIRECT(ADDRESS(MATCH($A42,【全期間】成果表実測値!$B:$B,0),AP$31,4,TRUE,"【全期間】成果表実測値"))="","",-INDIRECT(ADDRESS(MATCH($A42,【全期間】成果表実測値!$B:$B,0),AP$31,4,TRUE,"【全期間】成果表実測値"))),"")</f>
        <v/>
      </c>
      <c r="AQ42" s="283" t="str">
        <f ca="1">IFERROR(IF(INDIRECT(ADDRESS(MATCH($A42,【全期間】成果表実測値!$B:$B,0),AQ$31,4,TRUE,"【全期間】成果表実測値"))="","",-INDIRECT(ADDRESS(MATCH($A42,【全期間】成果表実測値!$B:$B,0),AQ$31,4,TRUE,"【全期間】成果表実測値"))),"")</f>
        <v/>
      </c>
      <c r="AR42" s="281">
        <f ca="1">IFERROR(IF(INDIRECT(ADDRESS(MATCH($A42,【全期間】成果表実測値!$B:$B,0),AR$31,4,TRUE,"【全期間】成果表実測値"))="","",-INDIRECT(ADDRESS(MATCH($A42,【全期間】成果表実測値!$B:$B,0),AR$31,4,TRUE,"【全期間】成果表実測値"))),"")</f>
        <v>-6.5</v>
      </c>
      <c r="AS42" s="282" t="str">
        <f ca="1">IFERROR(IF(INDIRECT(ADDRESS(MATCH($A42,【全期間】成果表実測値!$B:$B,0),AS$31,4,TRUE,"【全期間】成果表実測値"))="","",-INDIRECT(ADDRESS(MATCH($A42,【全期間】成果表実測値!$B:$B,0),AS$31,4,TRUE,"【全期間】成果表実測値"))),"")</f>
        <v/>
      </c>
      <c r="AT42" s="282" t="str">
        <f ca="1">IFERROR(IF(INDIRECT(ADDRESS(MATCH($A42,【全期間】成果表実測値!$B:$B,0),AT$31,4,TRUE,"【全期間】成果表実測値"))="","",-INDIRECT(ADDRESS(MATCH($A42,【全期間】成果表実測値!$B:$B,0),AT$31,4,TRUE,"【全期間】成果表実測値"))),"")</f>
        <v/>
      </c>
      <c r="AU42" s="282" t="str">
        <f ca="1">IFERROR(IF(INDIRECT(ADDRESS(MATCH($A42,【全期間】成果表実測値!$B:$B,0),AU$31,4,TRUE,"【全期間】成果表実測値"))="","",-INDIRECT(ADDRESS(MATCH($A42,【全期間】成果表実測値!$B:$B,0),AU$31,4,TRUE,"【全期間】成果表実測値"))),"")</f>
        <v/>
      </c>
      <c r="AV42" s="544" t="str">
        <f ca="1">IFERROR(IF(INDIRECT(ADDRESS(MATCH($A42,【全期間】成果表実測値!$B:$B,0),AV$31,4,TRUE,"【全期間】成果表実測値"))="","",-INDIRECT(ADDRESS(MATCH($A42,【全期間】成果表実測値!$B:$B,0),AV$31,4,TRUE,"【全期間】成果表実測値"))),"")</f>
        <v/>
      </c>
      <c r="AW42" s="552">
        <f ca="1">IFERROR(IF(INDIRECT(ADDRESS(MATCH($A42,【全期間】成果表実測値!$B:$B,0),AW$31,4,TRUE,"【全期間】成果表実測値"))="","",-INDIRECT(ADDRESS(MATCH($A42,【全期間】成果表実測値!$B:$B,0),AW$31,4,TRUE,"【全期間】成果表実測値"))),"")</f>
        <v>-2.7000000000008129</v>
      </c>
      <c r="AX42" s="282" t="str">
        <f ca="1">IFERROR(IF(INDIRECT(ADDRESS(MATCH($A42,【全期間】成果表実測値!$B:$B,0),AX$31,4,TRUE,"【全期間】成果表実測値"))="","",-INDIRECT(ADDRESS(MATCH($A42,【全期間】成果表実測値!$B:$B,0),AX$31,4,TRUE,"【全期間】成果表実測値"))),"")</f>
        <v/>
      </c>
      <c r="AY42" s="475" t="str">
        <f ca="1">IFERROR(IF(INDIRECT(ADDRESS(MATCH($A42,【全期間】成果表実測値!$B:$B,0),AY$31,4,TRUE,"【全期間】成果表実測値"))="","",-INDIRECT(ADDRESS(MATCH($A42,【全期間】成果表実測値!$B:$B,0),AY$31,4,TRUE,"【全期間】成果表実測値"))),"")</f>
        <v/>
      </c>
      <c r="AZ42" s="282" t="str">
        <f ca="1">IFERROR(IF(INDIRECT(ADDRESS(MATCH($A42,【全期間】成果表実測値!$B:$B,0),AZ$31,4,TRUE,"【全期間】成果表実測値"))="","",-INDIRECT(ADDRESS(MATCH($A42,【全期間】成果表実測値!$B:$B,0),AZ$31,4,TRUE,"【全期間】成果表実測値"))),"")</f>
        <v/>
      </c>
      <c r="BA42" s="283" t="str">
        <f ca="1">IFERROR(IF(INDIRECT(ADDRESS(MATCH($A42,【全期間】成果表実測値!$B:$B,0),BA$31,4,TRUE,"【全期間】成果表実測値"))="","",-INDIRECT(ADDRESS(MATCH($A42,【全期間】成果表実測値!$B:$B,0),BA$31,4,TRUE,"【全期間】成果表実測値"))),"")</f>
        <v/>
      </c>
      <c r="BB42" s="642" t="str">
        <f ca="1">IFERROR(IF(INDIRECT(ADDRESS(MATCH($A42,【全期間】成果表実測値!$B:$B,0),BB$31,4,TRUE,"【全期間】成果表実測値"))="","",-INDIRECT(ADDRESS(MATCH($A42,【全期間】成果表実測値!$B:$B,0),BB$31,4,TRUE,"【全期間】成果表実測値"))),"")</f>
        <v/>
      </c>
    </row>
    <row r="43" spans="1:54">
      <c r="A43" s="305" t="str">
        <f t="shared" si="5"/>
        <v>78-13</v>
      </c>
      <c r="B43" s="263" t="str">
        <f t="shared" si="7"/>
        <v>10.白)川北2261番地</v>
      </c>
      <c r="C43" s="298" t="str">
        <f t="shared" ca="1" si="7"/>
        <v>白石高校</v>
      </c>
      <c r="D43" s="397"/>
      <c r="E43" s="398"/>
      <c r="F43" s="399"/>
      <c r="G43" s="399"/>
      <c r="H43" s="399"/>
      <c r="I43" s="320">
        <v>0</v>
      </c>
      <c r="J43" s="283">
        <f ca="1">IFERROR(IF(INDIRECT(ADDRESS(MATCH($A43,【全期間】成果表実測値!$B:$B,0),J$31,4,TRUE,"【全期間】成果表実測値"))="","",-INDIRECT(ADDRESS(MATCH($A43,【全期間】成果表実測値!$B:$B,0),J$31,4,TRUE,"【全期間】成果表実測値"))),"")</f>
        <v>-33.799999999999997</v>
      </c>
      <c r="K43" s="281">
        <f ca="1">IFERROR(IF(INDIRECT(ADDRESS(MATCH($A43,【全期間】成果表実測値!$B:$B,0),K$31,4,TRUE,"【全期間】成果表実測値"))="","",-INDIRECT(ADDRESS(MATCH($A43,【全期間】成果表実測値!$B:$B,0),K$31,4,TRUE,"【全期間】成果表実測値"))),"")</f>
        <v>-32.1</v>
      </c>
      <c r="L43" s="282">
        <f ca="1">IFERROR(IF(INDIRECT(ADDRESS(MATCH($A43,【全期間】成果表実測値!$B:$B,0),L$31,4,TRUE,"【全期間】成果表実測値"))="","",-INDIRECT(ADDRESS(MATCH($A43,【全期間】成果表実測値!$B:$B,0),L$31,4,TRUE,"【全期間】成果表実測値"))),"")</f>
        <v>-23.9</v>
      </c>
      <c r="M43" s="282">
        <f ca="1">IFERROR(IF(INDIRECT(ADDRESS(MATCH($A43,【全期間】成果表実測値!$B:$B,0),M$31,4,TRUE,"【全期間】成果表実測値"))="","",-INDIRECT(ADDRESS(MATCH($A43,【全期間】成果表実測値!$B:$B,0),M$31,4,TRUE,"【全期間】成果表実測値"))),"")</f>
        <v>-40.4</v>
      </c>
      <c r="N43" s="282">
        <f ca="1">IFERROR(IF(INDIRECT(ADDRESS(MATCH($A43,【全期間】成果表実測値!$B:$B,0),N$31,4,TRUE,"【全期間】成果表実測値"))="","",-INDIRECT(ADDRESS(MATCH($A43,【全期間】成果表実測値!$B:$B,0),N$31,4,TRUE,"【全期間】成果表実測値"))),"")</f>
        <v>-16.399999999999999</v>
      </c>
      <c r="O43" s="283">
        <f ca="1">IFERROR(IF(INDIRECT(ADDRESS(MATCH($A43,【全期間】成果表実測値!$B:$B,0),O$31,4,TRUE,"【全期間】成果表実測値"))="","",-INDIRECT(ADDRESS(MATCH($A43,【全期間】成果表実測値!$B:$B,0),O$31,4,TRUE,"【全期間】成果表実測値"))),"")</f>
        <v>-21.4</v>
      </c>
      <c r="P43" s="281" t="str">
        <f ca="1">IFERROR(IF(INDIRECT(ADDRESS(MATCH($A43,【全期間】成果表実測値!$B:$B,0),P$31,4,TRUE,"【全期間】成果表実測値"))="","",-INDIRECT(ADDRESS(MATCH($A43,【全期間】成果表実測値!$B:$B,0),P$31,4,TRUE,"【全期間】成果表実測値"))),"")</f>
        <v/>
      </c>
      <c r="Q43" s="282" t="str">
        <f ca="1">IFERROR(IF(INDIRECT(ADDRESS(MATCH($A43,【全期間】成果表実測値!$B:$B,0),Q$31,4,TRUE,"【全期間】成果表実測値"))="","",-INDIRECT(ADDRESS(MATCH($A43,【全期間】成果表実測値!$B:$B,0),Q$31,4,TRUE,"【全期間】成果表実測値"))),"")</f>
        <v/>
      </c>
      <c r="R43" s="282" t="str">
        <f ca="1">IFERROR(IF(INDIRECT(ADDRESS(MATCH($A43,【全期間】成果表実測値!$B:$B,0),R$31,4,TRUE,"【全期間】成果表実測値"))="","",-INDIRECT(ADDRESS(MATCH($A43,【全期間】成果表実測値!$B:$B,0),R$31,4,TRUE,"【全期間】成果表実測値"))),"")</f>
        <v/>
      </c>
      <c r="S43" s="283" t="str">
        <f ca="1">IFERROR(IF(INDIRECT(ADDRESS(MATCH($A43,【全期間】成果表実測値!$B:$B,0),S$31,4,TRUE,"【全期間】成果表実測値"))="","",-INDIRECT(ADDRESS(MATCH($A43,【全期間】成果表実測値!$B:$B,0),S$31,4,TRUE,"【全期間】成果表実測値"))),"")</f>
        <v/>
      </c>
      <c r="T43" s="281" t="str">
        <f ca="1">IFERROR(IF(INDIRECT(ADDRESS(MATCH($A43,【全期間】成果表実測値!$B:$B,0),T$31,4,TRUE,"【全期間】成果表実測値"))="","",-INDIRECT(ADDRESS(MATCH($A43,【全期間】成果表実測値!$B:$B,0),T$31,4,TRUE,"【全期間】成果表実測値"))),"")</f>
        <v/>
      </c>
      <c r="U43" s="282">
        <f ca="1">IFERROR(IF(INDIRECT(ADDRESS(MATCH($A43,【全期間】成果表実測値!$B:$B,0),U$31,4,TRUE,"【全期間】成果表実測値"))="","",-INDIRECT(ADDRESS(MATCH($A43,【全期間】成果表実測値!$B:$B,0),U$31,4,TRUE,"【全期間】成果表実測値"))),"")</f>
        <v>-128.4</v>
      </c>
      <c r="V43" s="282" t="str">
        <f ca="1">IFERROR(IF(INDIRECT(ADDRESS(MATCH($A43,【全期間】成果表実測値!$B:$B,0),V$31,4,TRUE,"【全期間】成果表実測値"))="","",-INDIRECT(ADDRESS(MATCH($A43,【全期間】成果表実測値!$B:$B,0),V$31,4,TRUE,"【全期間】成果表実測値"))),"")</f>
        <v/>
      </c>
      <c r="W43" s="283" t="str">
        <f ca="1">IFERROR(IF(INDIRECT(ADDRESS(MATCH($A43,【全期間】成果表実測値!$B:$B,0),W$31,4,TRUE,"【全期間】成果表実測値"))="","",-INDIRECT(ADDRESS(MATCH($A43,【全期間】成果表実測値!$B:$B,0),W$31,4,TRUE,"【全期間】成果表実測値"))),"")</f>
        <v/>
      </c>
      <c r="X43" s="281" t="str">
        <f ca="1">IFERROR(IF(INDIRECT(ADDRESS(MATCH($A43,【全期間】成果表実測値!$B:$B,0),X$31,4,TRUE,"【全期間】成果表実測値"))="","",-INDIRECT(ADDRESS(MATCH($A43,【全期間】成果表実測値!$B:$B,0),X$31,4,TRUE,"【全期間】成果表実測値"))),"")</f>
        <v/>
      </c>
      <c r="Y43" s="282" t="str">
        <f ca="1">IFERROR(IF(INDIRECT(ADDRESS(MATCH($A43,【全期間】成果表実測値!$B:$B,0),Y$31,4,TRUE,"【全期間】成果表実測値"))="","",-INDIRECT(ADDRESS(MATCH($A43,【全期間】成果表実測値!$B:$B,0),Y$31,4,TRUE,"【全期間】成果表実測値"))),"")</f>
        <v/>
      </c>
      <c r="Z43" s="282" t="str">
        <f ca="1">IFERROR(IF(INDIRECT(ADDRESS(MATCH($A43,【全期間】成果表実測値!$B:$B,0),Z$31,4,TRUE,"【全期間】成果表実測値"))="","",-INDIRECT(ADDRESS(MATCH($A43,【全期間】成果表実測値!$B:$B,0),Z$31,4,TRUE,"【全期間】成果表実測値"))),"")</f>
        <v/>
      </c>
      <c r="AA43" s="282" t="str">
        <f ca="1">IFERROR(IF(INDIRECT(ADDRESS(MATCH($A43,【全期間】成果表実測値!$B:$B,0),AA$31,4,TRUE,"【全期間】成果表実測値"))="","",-INDIRECT(ADDRESS(MATCH($A43,【全期間】成果表実測値!$B:$B,0),AA$31,4,TRUE,"【全期間】成果表実測値"))),"")</f>
        <v/>
      </c>
      <c r="AB43" s="283" t="str">
        <f ca="1">IFERROR(IF(INDIRECT(ADDRESS(MATCH($A43,【全期間】成果表実測値!$B:$B,0),AB$31,4,TRUE,"【全期間】成果表実測値"))="","",-INDIRECT(ADDRESS(MATCH($A43,【全期間】成果表実測値!$B:$B,0),AB$31,4,TRUE,"【全期間】成果表実測値"))),"")</f>
        <v/>
      </c>
      <c r="AC43" s="281" t="str">
        <f ca="1">IFERROR(IF(INDIRECT(ADDRESS(MATCH($A43,【全期間】成果表実測値!$B:$B,0),AC$31,4,TRUE,"【全期間】成果表実測値"))="","",-INDIRECT(ADDRESS(MATCH($A43,【全期間】成果表実測値!$B:$B,0),AC$31,4,TRUE,"【全期間】成果表実測値"))),"")</f>
        <v/>
      </c>
      <c r="AD43" s="282">
        <f ca="1">IFERROR(IF(INDIRECT(ADDRESS(MATCH($A43,【全期間】成果表実測値!$B:$B,0),AD$31,4,TRUE,"【全期間】成果表実測値"))="","",-INDIRECT(ADDRESS(MATCH($A43,【全期間】成果表実測値!$B:$B,0),AD$31,4,TRUE,"【全期間】成果表実測値"))),"")</f>
        <v>-43</v>
      </c>
      <c r="AE43" s="282" t="str">
        <f ca="1">IFERROR(IF(INDIRECT(ADDRESS(MATCH($A43,【全期間】成果表実測値!$B:$B,0),AE$31,4,TRUE,"【全期間】成果表実測値"))="","",-INDIRECT(ADDRESS(MATCH($A43,【全期間】成果表実測値!$B:$B,0),AE$31,4,TRUE,"【全期間】成果表実測値"))),"")</f>
        <v/>
      </c>
      <c r="AF43" s="282" t="str">
        <f ca="1">IFERROR(IF(INDIRECT(ADDRESS(MATCH($A43,【全期間】成果表実測値!$B:$B,0),AF$31,4,TRUE,"【全期間】成果表実測値"))="","",-INDIRECT(ADDRESS(MATCH($A43,【全期間】成果表実測値!$B:$B,0),AF$31,4,TRUE,"【全期間】成果表実測値"))),"")</f>
        <v/>
      </c>
      <c r="AG43" s="283">
        <f ca="1">IFERROR(IF(INDIRECT(ADDRESS(MATCH($A43,【全期間】成果表実測値!$B:$B,0),AG$31,4,TRUE,"【全期間】成果表実測値"))="","",-INDIRECT(ADDRESS(MATCH($A43,【全期間】成果表実測値!$B:$B,0),AG$31,4,TRUE,"【全期間】成果表実測値"))),"")</f>
        <v>-26.3</v>
      </c>
      <c r="AH43" s="281" t="str">
        <f ca="1">IFERROR(IF(INDIRECT(ADDRESS(MATCH($A43,【全期間】成果表実測値!$B:$B,0),AH$31,4,TRUE,"【全期間】成果表実測値"))="","",-INDIRECT(ADDRESS(MATCH($A43,【全期間】成果表実測値!$B:$B,0),AH$31,4,TRUE,"【全期間】成果表実測値"))),"")</f>
        <v/>
      </c>
      <c r="AI43" s="282" t="str">
        <f ca="1">IFERROR(IF(INDIRECT(ADDRESS(MATCH($A43,【全期間】成果表実測値!$B:$B,0),AI$31,4,TRUE,"【全期間】成果表実測値"))="","",-INDIRECT(ADDRESS(MATCH($A43,【全期間】成果表実測値!$B:$B,0),AI$31,4,TRUE,"【全期間】成果表実測値"))),"")</f>
        <v/>
      </c>
      <c r="AJ43" s="282" t="str">
        <f ca="1">IFERROR(IF(INDIRECT(ADDRESS(MATCH($A43,【全期間】成果表実測値!$B:$B,0),AJ$31,4,TRUE,"【全期間】成果表実測値"))="","",-INDIRECT(ADDRESS(MATCH($A43,【全期間】成果表実測値!$B:$B,0),AJ$31,4,TRUE,"【全期間】成果表実測値"))),"")</f>
        <v/>
      </c>
      <c r="AK43" s="282" t="str">
        <f ca="1">IFERROR(IF(INDIRECT(ADDRESS(MATCH($A43,【全期間】成果表実測値!$B:$B,0),AK$31,4,TRUE,"【全期間】成果表実測値"))="","",-INDIRECT(ADDRESS(MATCH($A43,【全期間】成果表実測値!$B:$B,0),AK$31,4,TRUE,"【全期間】成果表実測値"))),"")</f>
        <v/>
      </c>
      <c r="AL43" s="283" t="str">
        <f ca="1">IFERROR(IF(INDIRECT(ADDRESS(MATCH($A43,【全期間】成果表実測値!$B:$B,0),AL$31,4,TRUE,"【全期間】成果表実測値"))="","",-INDIRECT(ADDRESS(MATCH($A43,【全期間】成果表実測値!$B:$B,0),AL$31,4,TRUE,"【全期間】成果表実測値"))),"")</f>
        <v/>
      </c>
      <c r="AM43" s="281">
        <f ca="1">IFERROR(IF(INDIRECT(ADDRESS(MATCH($A43,【全期間】成果表実測値!$B:$B,0),AM$31,4,TRUE,"【全期間】成果表実測値"))="","",-INDIRECT(ADDRESS(MATCH($A43,【全期間】成果表実測値!$B:$B,0),AM$31,4,TRUE,"【全期間】成果表実測値"))),"")</f>
        <v>-85.5</v>
      </c>
      <c r="AN43" s="282" t="str">
        <f ca="1">IFERROR(IF(INDIRECT(ADDRESS(MATCH($A43,【全期間】成果表実測値!$B:$B,0),AN$31,4,TRUE,"【全期間】成果表実測値"))="","",-INDIRECT(ADDRESS(MATCH($A43,【全期間】成果表実測値!$B:$B,0),AN$31,4,TRUE,"【全期間】成果表実測値"))),"")</f>
        <v/>
      </c>
      <c r="AO43" s="282" t="str">
        <f ca="1">IFERROR(IF(INDIRECT(ADDRESS(MATCH($A43,【全期間】成果表実測値!$B:$B,0),AO$31,4,TRUE,"【全期間】成果表実測値"))="","",-INDIRECT(ADDRESS(MATCH($A43,【全期間】成果表実測値!$B:$B,0),AO$31,4,TRUE,"【全期間】成果表実測値"))),"")</f>
        <v/>
      </c>
      <c r="AP43" s="282" t="str">
        <f ca="1">IFERROR(IF(INDIRECT(ADDRESS(MATCH($A43,【全期間】成果表実測値!$B:$B,0),AP$31,4,TRUE,"【全期間】成果表実測値"))="","",-INDIRECT(ADDRESS(MATCH($A43,【全期間】成果表実測値!$B:$B,0),AP$31,4,TRUE,"【全期間】成果表実測値"))),"")</f>
        <v/>
      </c>
      <c r="AQ43" s="283" t="str">
        <f ca="1">IFERROR(IF(INDIRECT(ADDRESS(MATCH($A43,【全期間】成果表実測値!$B:$B,0),AQ$31,4,TRUE,"【全期間】成果表実測値"))="","",-INDIRECT(ADDRESS(MATCH($A43,【全期間】成果表実測値!$B:$B,0),AQ$31,4,TRUE,"【全期間】成果表実測値"))),"")</f>
        <v/>
      </c>
      <c r="AR43" s="281">
        <f ca="1">IFERROR(IF(INDIRECT(ADDRESS(MATCH($A43,【全期間】成果表実測値!$B:$B,0),AR$31,4,TRUE,"【全期間】成果表実測値"))="","",-INDIRECT(ADDRESS(MATCH($A43,【全期間】成果表実測値!$B:$B,0),AR$31,4,TRUE,"【全期間】成果表実測値"))),"")</f>
        <v>-26.3</v>
      </c>
      <c r="AS43" s="282" t="str">
        <f ca="1">IFERROR(IF(INDIRECT(ADDRESS(MATCH($A43,【全期間】成果表実測値!$B:$B,0),AS$31,4,TRUE,"【全期間】成果表実測値"))="","",-INDIRECT(ADDRESS(MATCH($A43,【全期間】成果表実測値!$B:$B,0),AS$31,4,TRUE,"【全期間】成果表実測値"))),"")</f>
        <v/>
      </c>
      <c r="AT43" s="282">
        <f ca="1">IFERROR(IF(INDIRECT(ADDRESS(MATCH($A43,【全期間】成果表実測値!$B:$B,0),AT$31,4,TRUE,"【全期間】成果表実測値"))="","",-INDIRECT(ADDRESS(MATCH($A43,【全期間】成果表実測値!$B:$B,0),AT$31,4,TRUE,"【全期間】成果表実測値"))),"")</f>
        <v>-8.3000000000000007</v>
      </c>
      <c r="AU43" s="282" t="str">
        <f ca="1">IFERROR(IF(INDIRECT(ADDRESS(MATCH($A43,【全期間】成果表実測値!$B:$B,0),AU$31,4,TRUE,"【全期間】成果表実測値"))="","",-INDIRECT(ADDRESS(MATCH($A43,【全期間】成果表実測値!$B:$B,0),AU$31,4,TRUE,"【全期間】成果表実測値"))),"")</f>
        <v/>
      </c>
      <c r="AV43" s="544" t="str">
        <f ca="1">IFERROR(IF(INDIRECT(ADDRESS(MATCH($A43,【全期間】成果表実測値!$B:$B,0),AV$31,4,TRUE,"【全期間】成果表実測値"))="","",-INDIRECT(ADDRESS(MATCH($A43,【全期間】成果表実測値!$B:$B,0),AV$31,4,TRUE,"【全期間】成果表実測値"))),"")</f>
        <v/>
      </c>
      <c r="AW43" s="552">
        <f ca="1">IFERROR(IF(INDIRECT(ADDRESS(MATCH($A43,【全期間】成果表実測値!$B:$B,0),AW$31,4,TRUE,"【全期間】成果表実測値"))="","",-INDIRECT(ADDRESS(MATCH($A43,【全期間】成果表実測値!$B:$B,0),AW$31,4,TRUE,"【全期間】成果表実測値"))),"")</f>
        <v>-10.199999999999321</v>
      </c>
      <c r="AX43" s="282" t="str">
        <f ca="1">IFERROR(IF(INDIRECT(ADDRESS(MATCH($A43,【全期間】成果表実測値!$B:$B,0),AX$31,4,TRUE,"【全期間】成果表実測値"))="","",-INDIRECT(ADDRESS(MATCH($A43,【全期間】成果表実測値!$B:$B,0),AX$31,4,TRUE,"【全期間】成果表実測値"))),"")</f>
        <v/>
      </c>
      <c r="AY43" s="475">
        <f ca="1">IFERROR(IF(INDIRECT(ADDRESS(MATCH($A43,【全期間】成果表実測値!$B:$B,0),AY$31,4,TRUE,"【全期間】成果表実測値"))="","",-INDIRECT(ADDRESS(MATCH($A43,【全期間】成果表実測値!$B:$B,0),AY$31,4,TRUE,"【全期間】成果表実測値"))),"")</f>
        <v>-15.200000000000102</v>
      </c>
      <c r="AZ43" s="282" t="str">
        <f ca="1">IFERROR(IF(INDIRECT(ADDRESS(MATCH($A43,【全期間】成果表実測値!$B:$B,0),AZ$31,4,TRUE,"【全期間】成果表実測値"))="","",-INDIRECT(ADDRESS(MATCH($A43,【全期間】成果表実測値!$B:$B,0),AZ$31,4,TRUE,"【全期間】成果表実測値"))),"")</f>
        <v/>
      </c>
      <c r="BA43" s="283" t="str">
        <f ca="1">IFERROR(IF(INDIRECT(ADDRESS(MATCH($A43,【全期間】成果表実測値!$B:$B,0),BA$31,4,TRUE,"【全期間】成果表実測値"))="","",-INDIRECT(ADDRESS(MATCH($A43,【全期間】成果表実測値!$B:$B,0),BA$31,4,TRUE,"【全期間】成果表実測値"))),"")</f>
        <v/>
      </c>
      <c r="BB43" s="642" t="str">
        <f ca="1">IFERROR(IF(INDIRECT(ADDRESS(MATCH($A43,【全期間】成果表実測値!$B:$B,0),BB$31,4,TRUE,"【全期間】成果表実測値"))="","",-INDIRECT(ADDRESS(MATCH($A43,【全期間】成果表実測値!$B:$B,0),BB$31,4,TRUE,"【全期間】成果表実測値"))),"")</f>
        <v/>
      </c>
    </row>
    <row r="44" spans="1:54">
      <c r="A44" s="277" t="str">
        <f t="shared" si="5"/>
        <v>扇状地部</v>
      </c>
      <c r="B44" s="262"/>
      <c r="C44" s="29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572"/>
      <c r="BA44" s="645"/>
      <c r="BB44" s="278"/>
    </row>
    <row r="45" spans="1:54">
      <c r="A45" s="279" t="str">
        <f t="shared" si="5"/>
        <v>73-14</v>
      </c>
      <c r="B45" s="263" t="str">
        <f t="shared" ref="B45:C49" si="8">B17</f>
        <v>11.中)北4条東3丁目</v>
      </c>
      <c r="C45" s="298" t="str">
        <f t="shared" ca="1" si="8"/>
        <v>中央中学校</v>
      </c>
      <c r="D45" s="397"/>
      <c r="E45" s="398"/>
      <c r="F45" s="320">
        <v>0</v>
      </c>
      <c r="G45" s="282">
        <f ca="1">IFERROR(IF(INDIRECT(ADDRESS(MATCH($A45,【全期間】成果表実測値!$B:$B,0),G$31,4,TRUE,"【全期間】成果表実測値"))="","",-INDIRECT(ADDRESS(MATCH($A45,【全期間】成果表実測値!$B:$B,0),G$31,4,TRUE,"【全期間】成果表実測値"))),"")</f>
        <v>4.7</v>
      </c>
      <c r="H45" s="282">
        <f ca="1">IFERROR(IF(INDIRECT(ADDRESS(MATCH($A45,【全期間】成果表実測値!$B:$B,0),H$31,4,TRUE,"【全期間】成果表実測値"))="","",-INDIRECT(ADDRESS(MATCH($A45,【全期間】成果表実測値!$B:$B,0),H$31,4,TRUE,"【全期間】成果表実測値"))),"")</f>
        <v>-0.9</v>
      </c>
      <c r="I45" s="282">
        <f ca="1">IFERROR(IF(INDIRECT(ADDRESS(MATCH($A45,【全期間】成果表実測値!$B:$B,0),I$31,4,TRUE,"【全期間】成果表実測値"))="","",-INDIRECT(ADDRESS(MATCH($A45,【全期間】成果表実測値!$B:$B,0),I$31,4,TRUE,"【全期間】成果表実測値"))),"")</f>
        <v>-9.6</v>
      </c>
      <c r="J45" s="283">
        <f ca="1">IFERROR(IF(INDIRECT(ADDRESS(MATCH($A45,【全期間】成果表実測値!$B:$B,0),J$31,4,TRUE,"【全期間】成果表実測値"))="","",-INDIRECT(ADDRESS(MATCH($A45,【全期間】成果表実測値!$B:$B,0),J$31,4,TRUE,"【全期間】成果表実測値"))),"")</f>
        <v>-4.0999999999999996</v>
      </c>
      <c r="K45" s="281">
        <f ca="1">IFERROR(IF(INDIRECT(ADDRESS(MATCH($A45,【全期間】成果表実測値!$B:$B,0),K$31,4,TRUE,"【全期間】成果表実測値"))="","",-INDIRECT(ADDRESS(MATCH($A45,【全期間】成果表実測値!$B:$B,0),K$31,4,TRUE,"【全期間】成果表実測値"))),"")</f>
        <v>-0.3</v>
      </c>
      <c r="L45" s="282">
        <f ca="1">IFERROR(IF(INDIRECT(ADDRESS(MATCH($A45,【全期間】成果表実測値!$B:$B,0),L$31,4,TRUE,"【全期間】成果表実測値"))="","",-INDIRECT(ADDRESS(MATCH($A45,【全期間】成果表実測値!$B:$B,0),L$31,4,TRUE,"【全期間】成果表実測値"))),"")</f>
        <v>4.0999999999999996</v>
      </c>
      <c r="M45" s="282">
        <f ca="1">IFERROR(IF(INDIRECT(ADDRESS(MATCH($A45,【全期間】成果表実測値!$B:$B,0),M$31,4,TRUE,"【全期間】成果表実測値"))="","",-INDIRECT(ADDRESS(MATCH($A45,【全期間】成果表実測値!$B:$B,0),M$31,4,TRUE,"【全期間】成果表実測値"))),"")</f>
        <v>-4</v>
      </c>
      <c r="N45" s="282">
        <f ca="1">IFERROR(IF(INDIRECT(ADDRESS(MATCH($A45,【全期間】成果表実測値!$B:$B,0),N$31,4,TRUE,"【全期間】成果表実測値"))="","",-INDIRECT(ADDRESS(MATCH($A45,【全期間】成果表実測値!$B:$B,0),N$31,4,TRUE,"【全期間】成果表実測値"))),"")</f>
        <v>-1.9</v>
      </c>
      <c r="O45" s="283">
        <f ca="1">IFERROR(IF(INDIRECT(ADDRESS(MATCH($A45,【全期間】成果表実測値!$B:$B,0),O$31,4,TRUE,"【全期間】成果表実測値"))="","",-INDIRECT(ADDRESS(MATCH($A45,【全期間】成果表実測値!$B:$B,0),O$31,4,TRUE,"【全期間】成果表実測値"))),"")</f>
        <v>-3.9</v>
      </c>
      <c r="P45" s="281">
        <f ca="1">IFERROR(IF(INDIRECT(ADDRESS(MATCH($A45,【全期間】成果表実測値!$B:$B,0),P$31,4,TRUE,"【全期間】成果表実測値"))="","",-INDIRECT(ADDRESS(MATCH($A45,【全期間】成果表実測値!$B:$B,0),P$31,4,TRUE,"【全期間】成果表実測値"))),"")</f>
        <v>-16.2</v>
      </c>
      <c r="Q45" s="282">
        <f ca="1">IFERROR(IF(INDIRECT(ADDRESS(MATCH($A45,【全期間】成果表実測値!$B:$B,0),Q$31,4,TRUE,"【全期間】成果表実測値"))="","",-INDIRECT(ADDRESS(MATCH($A45,【全期間】成果表実測値!$B:$B,0),Q$31,4,TRUE,"【全期間】成果表実測値"))),"")</f>
        <v>2.5</v>
      </c>
      <c r="R45" s="282">
        <f ca="1">IFERROR(IF(INDIRECT(ADDRESS(MATCH($A45,【全期間】成果表実測値!$B:$B,0),R$31,4,TRUE,"【全期間】成果表実測値"))="","",-INDIRECT(ADDRESS(MATCH($A45,【全期間】成果表実測値!$B:$B,0),R$31,4,TRUE,"【全期間】成果表実測値"))),"")</f>
        <v>10.1</v>
      </c>
      <c r="S45" s="283">
        <f ca="1">IFERROR(IF(INDIRECT(ADDRESS(MATCH($A45,【全期間】成果表実測値!$B:$B,0),S$31,4,TRUE,"【全期間】成果表実測値"))="","",-INDIRECT(ADDRESS(MATCH($A45,【全期間】成果表実測値!$B:$B,0),S$31,4,TRUE,"【全期間】成果表実測値"))),"")</f>
        <v>-4.5</v>
      </c>
      <c r="T45" s="281">
        <f ca="1">IFERROR(IF(INDIRECT(ADDRESS(MATCH($A45,【全期間】成果表実測値!$B:$B,0),T$31,4,TRUE,"【全期間】成果表実測値"))="","",-INDIRECT(ADDRESS(MATCH($A45,【全期間】成果表実測値!$B:$B,0),T$31,4,TRUE,"【全期間】成果表実測値"))),"")</f>
        <v>-4.5</v>
      </c>
      <c r="U45" s="282">
        <f ca="1">IFERROR(IF(INDIRECT(ADDRESS(MATCH($A45,【全期間】成果表実測値!$B:$B,0),U$31,4,TRUE,"【全期間】成果表実測値"))="","",-INDIRECT(ADDRESS(MATCH($A45,【全期間】成果表実測値!$B:$B,0),U$31,4,TRUE,"【全期間】成果表実測値"))),"")</f>
        <v>2.6</v>
      </c>
      <c r="V45" s="282">
        <f ca="1">IFERROR(IF(INDIRECT(ADDRESS(MATCH($A45,【全期間】成果表実測値!$B:$B,0),V$31,4,TRUE,"【全期間】成果表実測値"))="","",-INDIRECT(ADDRESS(MATCH($A45,【全期間】成果表実測値!$B:$B,0),V$31,4,TRUE,"【全期間】成果表実測値"))),"")</f>
        <v>-6.8</v>
      </c>
      <c r="W45" s="283">
        <f ca="1">IFERROR(IF(INDIRECT(ADDRESS(MATCH($A45,【全期間】成果表実測値!$B:$B,0),W$31,4,TRUE,"【全期間】成果表実測値"))="","",-INDIRECT(ADDRESS(MATCH($A45,【全期間】成果表実測値!$B:$B,0),W$31,4,TRUE,"【全期間】成果表実測値"))),"")</f>
        <v>2.1</v>
      </c>
      <c r="X45" s="281">
        <f ca="1">IFERROR(IF(INDIRECT(ADDRESS(MATCH($A45,【全期間】成果表実測値!$B:$B,0),X$31,4,TRUE,"【全期間】成果表実測値"))="","",-INDIRECT(ADDRESS(MATCH($A45,【全期間】成果表実測値!$B:$B,0),X$31,4,TRUE,"【全期間】成果表実測値"))),"")</f>
        <v>3.7</v>
      </c>
      <c r="Y45" s="282">
        <f ca="1">IFERROR(IF(INDIRECT(ADDRESS(MATCH($A45,【全期間】成果表実測値!$B:$B,0),Y$31,4,TRUE,"【全期間】成果表実測値"))="","",-INDIRECT(ADDRESS(MATCH($A45,【全期間】成果表実測値!$B:$B,0),Y$31,4,TRUE,"【全期間】成果表実測値"))),"")</f>
        <v>-5.0999999999999996</v>
      </c>
      <c r="Z45" s="282">
        <f ca="1">IFERROR(IF(INDIRECT(ADDRESS(MATCH($A45,【全期間】成果表実測値!$B:$B,0),Z$31,4,TRUE,"【全期間】成果表実測値"))="","",-INDIRECT(ADDRESS(MATCH($A45,【全期間】成果表実測値!$B:$B,0),Z$31,4,TRUE,"【全期間】成果表実測値"))),"")</f>
        <v>-5</v>
      </c>
      <c r="AA45" s="282">
        <f ca="1">IFERROR(IF(INDIRECT(ADDRESS(MATCH($A45,【全期間】成果表実測値!$B:$B,0),AA$31,4,TRUE,"【全期間】成果表実測値"))="","",-INDIRECT(ADDRESS(MATCH($A45,【全期間】成果表実測値!$B:$B,0),AA$31,4,TRUE,"【全期間】成果表実測値"))),"")</f>
        <v>5.6</v>
      </c>
      <c r="AB45" s="283">
        <f ca="1">IFERROR(IF(INDIRECT(ADDRESS(MATCH($A45,【全期間】成果表実測値!$B:$B,0),AB$31,4,TRUE,"【全期間】成果表実測値"))="","",-INDIRECT(ADDRESS(MATCH($A45,【全期間】成果表実測値!$B:$B,0),AB$31,4,TRUE,"【全期間】成果表実測値"))),"")</f>
        <v>-9.4</v>
      </c>
      <c r="AC45" s="281">
        <f ca="1">IFERROR(IF(INDIRECT(ADDRESS(MATCH($A45,【全期間】成果表実測値!$B:$B,0),AC$31,4,TRUE,"【全期間】成果表実測値"))="","",-INDIRECT(ADDRESS(MATCH($A45,【全期間】成果表実測値!$B:$B,0),AC$31,4,TRUE,"【全期間】成果表実測値"))),"")</f>
        <v>0.7</v>
      </c>
      <c r="AD45" s="282">
        <f ca="1">IFERROR(IF(INDIRECT(ADDRESS(MATCH($A45,【全期間】成果表実測値!$B:$B,0),AD$31,4,TRUE,"【全期間】成果表実測値"))="","",-INDIRECT(ADDRESS(MATCH($A45,【全期間】成果表実測値!$B:$B,0),AD$31,4,TRUE,"【全期間】成果表実測値"))),"")</f>
        <v>3.1</v>
      </c>
      <c r="AE45" s="282">
        <f ca="1">IFERROR(IF(INDIRECT(ADDRESS(MATCH($A45,【全期間】成果表実測値!$B:$B,0),AE$31,4,TRUE,"【全期間】成果表実測値"))="","",-INDIRECT(ADDRESS(MATCH($A45,【全期間】成果表実測値!$B:$B,0),AE$31,4,TRUE,"【全期間】成果表実測値"))),"")</f>
        <v>-6.2</v>
      </c>
      <c r="AF45" s="282">
        <f ca="1">IFERROR(IF(INDIRECT(ADDRESS(MATCH($A45,【全期間】成果表実測値!$B:$B,0),AF$31,4,TRUE,"【全期間】成果表実測値"))="","",-INDIRECT(ADDRESS(MATCH($A45,【全期間】成果表実測値!$B:$B,0),AF$31,4,TRUE,"【全期間】成果表実測値"))),"")</f>
        <v>-9.99999999997669E-2</v>
      </c>
      <c r="AG45" s="283">
        <f ca="1">IFERROR(IF(INDIRECT(ADDRESS(MATCH($A45,【全期間】成果表実測値!$B:$B,0),AG$31,4,TRUE,"【全期間】成果表実測値"))="","",-INDIRECT(ADDRESS(MATCH($A45,【全期間】成果表実測値!$B:$B,0),AG$31,4,TRUE,"【全期間】成果表実測値"))),"")</f>
        <v>7.6</v>
      </c>
      <c r="AH45" s="281">
        <f ca="1">IFERROR(IF(INDIRECT(ADDRESS(MATCH($A45,【全期間】成果表実測値!$B:$B,0),AH$31,4,TRUE,"【全期間】成果表実測値"))="","",-INDIRECT(ADDRESS(MATCH($A45,【全期間】成果表実測値!$B:$B,0),AH$31,4,TRUE,"【全期間】成果表実測値"))),"")</f>
        <v>-9.1</v>
      </c>
      <c r="AI45" s="282">
        <f ca="1">IFERROR(IF(INDIRECT(ADDRESS(MATCH($A45,【全期間】成果表実測値!$B:$B,0),AI$31,4,TRUE,"【全期間】成果表実測値"))="","",-INDIRECT(ADDRESS(MATCH($A45,【全期間】成果表実測値!$B:$B,0),AI$31,4,TRUE,"【全期間】成果表実測値"))),"")</f>
        <v>-5.3</v>
      </c>
      <c r="AJ45" s="282" t="str">
        <f ca="1">IFERROR(IF(INDIRECT(ADDRESS(MATCH($A45,【全期間】成果表実測値!$B:$B,0),AJ$31,4,TRUE,"【全期間】成果表実測値"))="","",-INDIRECT(ADDRESS(MATCH($A45,【全期間】成果表実測値!$B:$B,0),AJ$31,4,TRUE,"【全期間】成果表実測値"))),"")</f>
        <v/>
      </c>
      <c r="AK45" s="282" t="str">
        <f ca="1">IFERROR(IF(INDIRECT(ADDRESS(MATCH($A45,【全期間】成果表実測値!$B:$B,0),AK$31,4,TRUE,"【全期間】成果表実測値"))="","",-INDIRECT(ADDRESS(MATCH($A45,【全期間】成果表実測値!$B:$B,0),AK$31,4,TRUE,"【全期間】成果表実測値"))),"")</f>
        <v/>
      </c>
      <c r="AL45" s="283">
        <f ca="1">IFERROR(IF(INDIRECT(ADDRESS(MATCH($A45,【全期間】成果表実測値!$B:$B,0),AL$31,4,TRUE,"【全期間】成果表実測値"))="","",-INDIRECT(ADDRESS(MATCH($A45,【全期間】成果表実測値!$B:$B,0),AL$31,4,TRUE,"【全期間】成果表実測値"))),"")</f>
        <v>-1</v>
      </c>
      <c r="AM45" s="281">
        <f ca="1">IFERROR(IF(INDIRECT(ADDRESS(MATCH($A45,【全期間】成果表実測値!$B:$B,0),AM$31,4,TRUE,"【全期間】成果表実測値"))="","",-INDIRECT(ADDRESS(MATCH($A45,【全期間】成果表実測値!$B:$B,0),AM$31,4,TRUE,"【全期間】成果表実測値"))),"")</f>
        <v>-2.6</v>
      </c>
      <c r="AN45" s="282">
        <f ca="1">IFERROR(IF(INDIRECT(ADDRESS(MATCH($A45,【全期間】成果表実測値!$B:$B,0),AN$31,4,TRUE,"【全期間】成果表実測値"))="","",-INDIRECT(ADDRESS(MATCH($A45,【全期間】成果表実測値!$B:$B,0),AN$31,4,TRUE,"【全期間】成果表実測値"))),"")</f>
        <v>3.8</v>
      </c>
      <c r="AO45" s="282">
        <f ca="1">IFERROR(IF(INDIRECT(ADDRESS(MATCH($A45,【全期間】成果表実測値!$B:$B,0),AO$31,4,TRUE,"【全期間】成果表実測値"))="","",-INDIRECT(ADDRESS(MATCH($A45,【全期間】成果表実測値!$B:$B,0),AO$31,4,TRUE,"【全期間】成果表実測値"))),"")</f>
        <v>-2.1</v>
      </c>
      <c r="AP45" s="282" t="str">
        <f ca="1">IFERROR(IF(INDIRECT(ADDRESS(MATCH($A45,【全期間】成果表実測値!$B:$B,0),AP$31,4,TRUE,"【全期間】成果表実測値"))="","",-INDIRECT(ADDRESS(MATCH($A45,【全期間】成果表実測値!$B:$B,0),AP$31,4,TRUE,"【全期間】成果表実測値"))),"")</f>
        <v/>
      </c>
      <c r="AQ45" s="283" t="str">
        <f ca="1">IFERROR(IF(INDIRECT(ADDRESS(MATCH($A45,【全期間】成果表実測値!$B:$B,0),AQ$31,4,TRUE,"【全期間】成果表実測値"))="","",-INDIRECT(ADDRESS(MATCH($A45,【全期間】成果表実測値!$B:$B,0),AQ$31,4,TRUE,"【全期間】成果表実測値"))),"")</f>
        <v/>
      </c>
      <c r="AR45" s="281">
        <f ca="1">IFERROR(IF(INDIRECT(ADDRESS(MATCH($A45,【全期間】成果表実測値!$B:$B,0),AR$31,4,TRUE,"【全期間】成果表実測値"))="","",-INDIRECT(ADDRESS(MATCH($A45,【全期間】成果表実測値!$B:$B,0),AR$31,4,TRUE,"【全期間】成果表実測値"))),"")</f>
        <v>-2.4</v>
      </c>
      <c r="AS45" s="282">
        <f ca="1">IFERROR(IF(INDIRECT(ADDRESS(MATCH($A45,【全期間】成果表実測値!$B:$B,0),AS$31,4,TRUE,"【全期間】成果表実測値"))="","",-INDIRECT(ADDRESS(MATCH($A45,【全期間】成果表実測値!$B:$B,0),AS$31,4,TRUE,"【全期間】成果表実測値"))),"")</f>
        <v>1.3</v>
      </c>
      <c r="AT45" s="282">
        <f ca="1">IFERROR(IF(INDIRECT(ADDRESS(MATCH($A45,【全期間】成果表実測値!$B:$B,0),AT$31,4,TRUE,"【全期間】成果表実測値"))="","",-INDIRECT(ADDRESS(MATCH($A45,【全期間】成果表実測値!$B:$B,0),AT$31,4,TRUE,"【全期間】成果表実測値"))),"")</f>
        <v>-0.6</v>
      </c>
      <c r="AU45" s="282" t="str">
        <f ca="1">IFERROR(IF(INDIRECT(ADDRESS(MATCH($A45,【全期間】成果表実測値!$B:$B,0),AU$31,4,TRUE,"【全期間】成果表実測値"))="","",-INDIRECT(ADDRESS(MATCH($A45,【全期間】成果表実測値!$B:$B,0),AU$31,4,TRUE,"【全期間】成果表実測値"))),"")</f>
        <v/>
      </c>
      <c r="AV45" s="544" t="str">
        <f ca="1">IFERROR(IF(INDIRECT(ADDRESS(MATCH($A45,【全期間】成果表実測値!$B:$B,0),AV$31,4,TRUE,"【全期間】成果表実測値"))="","",-INDIRECT(ADDRESS(MATCH($A45,【全期間】成果表実測値!$B:$B,0),AV$31,4,TRUE,"【全期間】成果表実測値"))),"")</f>
        <v/>
      </c>
      <c r="AW45" s="552" t="str">
        <f ca="1">IFERROR(IF(INDIRECT(ADDRESS(MATCH($A45,【全期間】成果表実測値!$B:$B,0),AW$31,4,TRUE,"【全期間】成果表実測値"))="","",-INDIRECT(ADDRESS(MATCH($A45,【全期間】成果表実測値!$B:$B,0),AW$31,4,TRUE,"【全期間】成果表実測値"))),"")</f>
        <v/>
      </c>
      <c r="AX45" s="282" t="str">
        <f ca="1">IFERROR(IF(INDIRECT(ADDRESS(MATCH($A45,【全期間】成果表実測値!$B:$B,0),AX$31,4,TRUE,"【全期間】成果表実測値"))="","",-INDIRECT(ADDRESS(MATCH($A45,【全期間】成果表実測値!$B:$B,0),AX$31,4,TRUE,"【全期間】成果表実測値"))),"")</f>
        <v/>
      </c>
      <c r="AY45" s="475" t="str">
        <f ca="1">IFERROR(IF(INDIRECT(ADDRESS(MATCH($A45,【全期間】成果表実測値!$B:$B,0),AY$31,4,TRUE,"【全期間】成果表実測値"))="","",-INDIRECT(ADDRESS(MATCH($A45,【全期間】成果表実測値!$B:$B,0),AY$31,4,TRUE,"【全期間】成果表実測値"))),"")</f>
        <v/>
      </c>
      <c r="AZ45" s="282" t="str">
        <f ca="1">IFERROR(IF(INDIRECT(ADDRESS(MATCH($A45,【全期間】成果表実測値!$B:$B,0),AZ$31,4,TRUE,"【全期間】成果表実測値"))="","",-INDIRECT(ADDRESS(MATCH($A45,【全期間】成果表実測値!$B:$B,0),AZ$31,4,TRUE,"【全期間】成果表実測値"))),"")</f>
        <v/>
      </c>
      <c r="BA45" s="283" t="str">
        <f ca="1">IFERROR(IF(INDIRECT(ADDRESS(MATCH($A45,【全期間】成果表実測値!$B:$B,0),BA$31,4,TRUE,"【全期間】成果表実測値"))="","",-INDIRECT(ADDRESS(MATCH($A45,【全期間】成果表実測値!$B:$B,0),BA$31,4,TRUE,"【全期間】成果表実測値"))),"")</f>
        <v/>
      </c>
      <c r="BB45" s="642" t="str">
        <f ca="1">IFERROR(IF(INDIRECT(ADDRESS(MATCH($A45,【全期間】成果表実測値!$B:$B,0),BB$31,4,TRUE,"【全期間】成果表実測値"))="","",-INDIRECT(ADDRESS(MATCH($A45,【全期間】成果表実測値!$B:$B,0),BB$31,4,TRUE,"【全期間】成果表実測値"))),"")</f>
        <v/>
      </c>
    </row>
    <row r="46" spans="1:54">
      <c r="A46" s="305">
        <f t="shared" si="5"/>
        <v>7410</v>
      </c>
      <c r="B46" s="263" t="str">
        <f t="shared" si="8"/>
        <v>12.中)南1条西14丁目</v>
      </c>
      <c r="C46" s="298" t="str">
        <f t="shared" ca="1" si="8"/>
        <v>中村記念病院</v>
      </c>
      <c r="D46" s="319">
        <v>0</v>
      </c>
      <c r="E46" s="281">
        <f ca="1">IFERROR(IF(INDIRECT(ADDRESS(MATCH($A46,【全期間】成果表実測値!$B:$B,0),E$31,4,TRUE,"【全期間】成果表実測値"))="","",-INDIRECT(ADDRESS(MATCH($A46,【全期間】成果表実測値!$B:$B,0),E$31,4,TRUE,"【全期間】成果表実測値"))),"")</f>
        <v>-12.4</v>
      </c>
      <c r="F46" s="282">
        <f ca="1">IFERROR(IF(INDIRECT(ADDRESS(MATCH($A46,【全期間】成果表実測値!$B:$B,0),F$31,4,TRUE,"【全期間】成果表実測値"))="","",-INDIRECT(ADDRESS(MATCH($A46,【全期間】成果表実測値!$B:$B,0),F$31,4,TRUE,"【全期間】成果表実測値"))),"")</f>
        <v>2.9</v>
      </c>
      <c r="G46" s="282">
        <f ca="1">IFERROR(IF(INDIRECT(ADDRESS(MATCH($A46,【全期間】成果表実測値!$B:$B,0),G$31,4,TRUE,"【全期間】成果表実測値"))="","",-INDIRECT(ADDRESS(MATCH($A46,【全期間】成果表実測値!$B:$B,0),G$31,4,TRUE,"【全期間】成果表実測値"))),"")</f>
        <v>3.7</v>
      </c>
      <c r="H46" s="282" t="str">
        <f ca="1">IFERROR(IF(INDIRECT(ADDRESS(MATCH($A46,【全期間】成果表実測値!$B:$B,0),H$31,4,TRUE,"【全期間】成果表実測値"))="","",-INDIRECT(ADDRESS(MATCH($A46,【全期間】成果表実測値!$B:$B,0),H$31,4,TRUE,"【全期間】成果表実測値"))),"")</f>
        <v/>
      </c>
      <c r="I46" s="282">
        <f ca="1">IFERROR(IF(INDIRECT(ADDRESS(MATCH($A46,【全期間】成果表実測値!$B:$B,0),I$31,4,TRUE,"【全期間】成果表実測値"))="","",-INDIRECT(ADDRESS(MATCH($A46,【全期間】成果表実測値!$B:$B,0),I$31,4,TRUE,"【全期間】成果表実測値"))),"")</f>
        <v>-8.6999999999999993</v>
      </c>
      <c r="J46" s="283">
        <f ca="1">IFERROR(IF(INDIRECT(ADDRESS(MATCH($A46,【全期間】成果表実測値!$B:$B,0),J$31,4,TRUE,"【全期間】成果表実測値"))="","",-INDIRECT(ADDRESS(MATCH($A46,【全期間】成果表実測値!$B:$B,0),J$31,4,TRUE,"【全期間】成果表実測値"))),"")</f>
        <v>0.7</v>
      </c>
      <c r="K46" s="281">
        <f ca="1">IFERROR(IF(INDIRECT(ADDRESS(MATCH($A46,【全期間】成果表実測値!$B:$B,0),K$31,4,TRUE,"【全期間】成果表実測値"))="","",-INDIRECT(ADDRESS(MATCH($A46,【全期間】成果表実測値!$B:$B,0),K$31,4,TRUE,"【全期間】成果表実測値"))),"")</f>
        <v>-4</v>
      </c>
      <c r="L46" s="282">
        <f ca="1">IFERROR(IF(INDIRECT(ADDRESS(MATCH($A46,【全期間】成果表実測値!$B:$B,0),L$31,4,TRUE,"【全期間】成果表実測値"))="","",-INDIRECT(ADDRESS(MATCH($A46,【全期間】成果表実測値!$B:$B,0),L$31,4,TRUE,"【全期間】成果表実測値"))),"")</f>
        <v>4.0999999999999996</v>
      </c>
      <c r="M46" s="282">
        <f ca="1">IFERROR(IF(INDIRECT(ADDRESS(MATCH($A46,【全期間】成果表実測値!$B:$B,0),M$31,4,TRUE,"【全期間】成果表実測値"))="","",-INDIRECT(ADDRESS(MATCH($A46,【全期間】成果表実測値!$B:$B,0),M$31,4,TRUE,"【全期間】成果表実測値"))),"")</f>
        <v>-2.6</v>
      </c>
      <c r="N46" s="282">
        <f ca="1">IFERROR(IF(INDIRECT(ADDRESS(MATCH($A46,【全期間】成果表実測値!$B:$B,0),N$31,4,TRUE,"【全期間】成果表実測値"))="","",-INDIRECT(ADDRESS(MATCH($A46,【全期間】成果表実測値!$B:$B,0),N$31,4,TRUE,"【全期間】成果表実測値"))),"")</f>
        <v>-0.7</v>
      </c>
      <c r="O46" s="283">
        <f ca="1">IFERROR(IF(INDIRECT(ADDRESS(MATCH($A46,【全期間】成果表実測値!$B:$B,0),O$31,4,TRUE,"【全期間】成果表実測値"))="","",-INDIRECT(ADDRESS(MATCH($A46,【全期間】成果表実測値!$B:$B,0),O$31,4,TRUE,"【全期間】成果表実測値"))),"")</f>
        <v>-1.7</v>
      </c>
      <c r="P46" s="281">
        <f ca="1">IFERROR(IF(INDIRECT(ADDRESS(MATCH($A46,【全期間】成果表実測値!$B:$B,0),P$31,4,TRUE,"【全期間】成果表実測値"))="","",-INDIRECT(ADDRESS(MATCH($A46,【全期間】成果表実測値!$B:$B,0),P$31,4,TRUE,"【全期間】成果表実測値"))),"")</f>
        <v>-9.5</v>
      </c>
      <c r="Q46" s="282">
        <f ca="1">IFERROR(IF(INDIRECT(ADDRESS(MATCH($A46,【全期間】成果表実測値!$B:$B,0),Q$31,4,TRUE,"【全期間】成果表実測値"))="","",-INDIRECT(ADDRESS(MATCH($A46,【全期間】成果表実測値!$B:$B,0),Q$31,4,TRUE,"【全期間】成果表実測値"))),"")</f>
        <v>1.4</v>
      </c>
      <c r="R46" s="282" t="str">
        <f ca="1">IFERROR(IF(INDIRECT(ADDRESS(MATCH($A46,【全期間】成果表実測値!$B:$B,0),R$31,4,TRUE,"【全期間】成果表実測値"))="","",-INDIRECT(ADDRESS(MATCH($A46,【全期間】成果表実測値!$B:$B,0),R$31,4,TRUE,"【全期間】成果表実測値"))),"")</f>
        <v/>
      </c>
      <c r="S46" s="283" t="str">
        <f ca="1">IFERROR(IF(INDIRECT(ADDRESS(MATCH($A46,【全期間】成果表実測値!$B:$B,0),S$31,4,TRUE,"【全期間】成果表実測値"))="","",-INDIRECT(ADDRESS(MATCH($A46,【全期間】成果表実測値!$B:$B,0),S$31,4,TRUE,"【全期間】成果表実測値"))),"")</f>
        <v/>
      </c>
      <c r="T46" s="281" t="str">
        <f ca="1">IFERROR(IF(INDIRECT(ADDRESS(MATCH($A46,【全期間】成果表実測値!$B:$B,0),T$31,4,TRUE,"【全期間】成果表実測値"))="","",-INDIRECT(ADDRESS(MATCH($A46,【全期間】成果表実測値!$B:$B,0),T$31,4,TRUE,"【全期間】成果表実測値"))),"")</f>
        <v/>
      </c>
      <c r="U46" s="282">
        <f ca="1">IFERROR(IF(INDIRECT(ADDRESS(MATCH($A46,【全期間】成果表実測値!$B:$B,0),U$31,4,TRUE,"【全期間】成果表実測値"))="","",-INDIRECT(ADDRESS(MATCH($A46,【全期間】成果表実測値!$B:$B,0),U$31,4,TRUE,"【全期間】成果表実測値"))),"")</f>
        <v>3.1</v>
      </c>
      <c r="V46" s="282" t="str">
        <f ca="1">IFERROR(IF(INDIRECT(ADDRESS(MATCH($A46,【全期間】成果表実測値!$B:$B,0),V$31,4,TRUE,"【全期間】成果表実測値"))="","",-INDIRECT(ADDRESS(MATCH($A46,【全期間】成果表実測値!$B:$B,0),V$31,4,TRUE,"【全期間】成果表実測値"))),"")</f>
        <v/>
      </c>
      <c r="W46" s="283" t="str">
        <f ca="1">IFERROR(IF(INDIRECT(ADDRESS(MATCH($A46,【全期間】成果表実測値!$B:$B,0),W$31,4,TRUE,"【全期間】成果表実測値"))="","",-INDIRECT(ADDRESS(MATCH($A46,【全期間】成果表実測値!$B:$B,0),W$31,4,TRUE,"【全期間】成果表実測値"))),"")</f>
        <v/>
      </c>
      <c r="X46" s="281">
        <f ca="1">IFERROR(IF(INDIRECT(ADDRESS(MATCH($A46,【全期間】成果表実測値!$B:$B,0),X$31,4,TRUE,"【全期間】成果表実測値"))="","",-INDIRECT(ADDRESS(MATCH($A46,【全期間】成果表実測値!$B:$B,0),X$31,4,TRUE,"【全期間】成果表実測値"))),"")</f>
        <v>-2.7</v>
      </c>
      <c r="Y46" s="282" t="str">
        <f ca="1">IFERROR(IF(INDIRECT(ADDRESS(MATCH($A46,【全期間】成果表実測値!$B:$B,0),Y$31,4,TRUE,"【全期間】成果表実測値"))="","",-INDIRECT(ADDRESS(MATCH($A46,【全期間】成果表実測値!$B:$B,0),Y$31,4,TRUE,"【全期間】成果表実測値"))),"")</f>
        <v/>
      </c>
      <c r="Z46" s="282" t="str">
        <f ca="1">IFERROR(IF(INDIRECT(ADDRESS(MATCH($A46,【全期間】成果表実測値!$B:$B,0),Z$31,4,TRUE,"【全期間】成果表実測値"))="","",-INDIRECT(ADDRESS(MATCH($A46,【全期間】成果表実測値!$B:$B,0),Z$31,4,TRUE,"【全期間】成果表実測値"))),"")</f>
        <v/>
      </c>
      <c r="AA46" s="282">
        <f ca="1">IFERROR(IF(INDIRECT(ADDRESS(MATCH($A46,【全期間】成果表実測値!$B:$B,0),AA$31,4,TRUE,"【全期間】成果表実測値"))="","",-INDIRECT(ADDRESS(MATCH($A46,【全期間】成果表実測値!$B:$B,0),AA$31,4,TRUE,"【全期間】成果表実測値"))),"")</f>
        <v>-1.4</v>
      </c>
      <c r="AB46" s="283" t="str">
        <f ca="1">IFERROR(IF(INDIRECT(ADDRESS(MATCH($A46,【全期間】成果表実測値!$B:$B,0),AB$31,4,TRUE,"【全期間】成果表実測値"))="","",-INDIRECT(ADDRESS(MATCH($A46,【全期間】成果表実測値!$B:$B,0),AB$31,4,TRUE,"【全期間】成果表実測値"))),"")</f>
        <v/>
      </c>
      <c r="AC46" s="281" t="str">
        <f ca="1">IFERROR(IF(INDIRECT(ADDRESS(MATCH($A46,【全期間】成果表実測値!$B:$B,0),AC$31,4,TRUE,"【全期間】成果表実測値"))="","",-INDIRECT(ADDRESS(MATCH($A46,【全期間】成果表実測値!$B:$B,0),AC$31,4,TRUE,"【全期間】成果表実測値"))),"")</f>
        <v/>
      </c>
      <c r="AD46" s="282" t="str">
        <f ca="1">IFERROR(IF(INDIRECT(ADDRESS(MATCH($A46,【全期間】成果表実測値!$B:$B,0),AD$31,4,TRUE,"【全期間】成果表実測値"))="","",-INDIRECT(ADDRESS(MATCH($A46,【全期間】成果表実測値!$B:$B,0),AD$31,4,TRUE,"【全期間】成果表実測値"))),"")</f>
        <v/>
      </c>
      <c r="AE46" s="282" t="str">
        <f ca="1">IFERROR(IF(INDIRECT(ADDRESS(MATCH($A46,【全期間】成果表実測値!$B:$B,0),AE$31,4,TRUE,"【全期間】成果表実測値"))="","",-INDIRECT(ADDRESS(MATCH($A46,【全期間】成果表実測値!$B:$B,0),AE$31,4,TRUE,"【全期間】成果表実測値"))),"")</f>
        <v/>
      </c>
      <c r="AF46" s="282" t="str">
        <f ca="1">IFERROR(IF(INDIRECT(ADDRESS(MATCH($A46,【全期間】成果表実測値!$B:$B,0),AF$31,4,TRUE,"【全期間】成果表実測値"))="","",-INDIRECT(ADDRESS(MATCH($A46,【全期間】成果表実測値!$B:$B,0),AF$31,4,TRUE,"【全期間】成果表実測値"))),"")</f>
        <v/>
      </c>
      <c r="AG46" s="283" t="str">
        <f ca="1">IFERROR(IF(INDIRECT(ADDRESS(MATCH($A46,【全期間】成果表実測値!$B:$B,0),AG$31,4,TRUE,"【全期間】成果表実測値"))="","",-INDIRECT(ADDRESS(MATCH($A46,【全期間】成果表実測値!$B:$B,0),AG$31,4,TRUE,"【全期間】成果表実測値"))),"")</f>
        <v/>
      </c>
      <c r="AH46" s="281" t="str">
        <f ca="1">IFERROR(IF(INDIRECT(ADDRESS(MATCH($A46,【全期間】成果表実測値!$B:$B,0),AH$31,4,TRUE,"【全期間】成果表実測値"))="","",-INDIRECT(ADDRESS(MATCH($A46,【全期間】成果表実測値!$B:$B,0),AH$31,4,TRUE,"【全期間】成果表実測値"))),"")</f>
        <v/>
      </c>
      <c r="AI46" s="282">
        <f ca="1">IFERROR(IF(INDIRECT(ADDRESS(MATCH($A46,【全期間】成果表実測値!$B:$B,0),AI$31,4,TRUE,"【全期間】成果表実測値"))="","",-INDIRECT(ADDRESS(MATCH($A46,【全期間】成果表実測値!$B:$B,0),AI$31,4,TRUE,"【全期間】成果表実測値"))),"")</f>
        <v>-11.8</v>
      </c>
      <c r="AJ46" s="282" t="str">
        <f ca="1">IFERROR(IF(INDIRECT(ADDRESS(MATCH($A46,【全期間】成果表実測値!$B:$B,0),AJ$31,4,TRUE,"【全期間】成果表実測値"))="","",-INDIRECT(ADDRESS(MATCH($A46,【全期間】成果表実測値!$B:$B,0),AJ$31,4,TRUE,"【全期間】成果表実測値"))),"")</f>
        <v/>
      </c>
      <c r="AK46" s="282" t="str">
        <f ca="1">IFERROR(IF(INDIRECT(ADDRESS(MATCH($A46,【全期間】成果表実測値!$B:$B,0),AK$31,4,TRUE,"【全期間】成果表実測値"))="","",-INDIRECT(ADDRESS(MATCH($A46,【全期間】成果表実測値!$B:$B,0),AK$31,4,TRUE,"【全期間】成果表実測値"))),"")</f>
        <v/>
      </c>
      <c r="AL46" s="283" t="str">
        <f ca="1">IFERROR(IF(INDIRECT(ADDRESS(MATCH($A46,【全期間】成果表実測値!$B:$B,0),AL$31,4,TRUE,"【全期間】成果表実測値"))="","",-INDIRECT(ADDRESS(MATCH($A46,【全期間】成果表実測値!$B:$B,0),AL$31,4,TRUE,"【全期間】成果表実測値"))),"")</f>
        <v/>
      </c>
      <c r="AM46" s="281">
        <f ca="1">IFERROR(IF(INDIRECT(ADDRESS(MATCH($A46,【全期間】成果表実測値!$B:$B,0),AM$31,4,TRUE,"【全期間】成果表実測値"))="","",-INDIRECT(ADDRESS(MATCH($A46,【全期間】成果表実測値!$B:$B,0),AM$31,4,TRUE,"【全期間】成果表実測値"))),"")</f>
        <v>-2.8</v>
      </c>
      <c r="AN46" s="282">
        <f ca="1">IFERROR(IF(INDIRECT(ADDRESS(MATCH($A46,【全期間】成果表実測値!$B:$B,0),AN$31,4,TRUE,"【全期間】成果表実測値"))="","",-INDIRECT(ADDRESS(MATCH($A46,【全期間】成果表実測値!$B:$B,0),AN$31,4,TRUE,"【全期間】成果表実測値"))),"")</f>
        <v>4.5999999999999996</v>
      </c>
      <c r="AO46" s="282">
        <f ca="1">IFERROR(IF(INDIRECT(ADDRESS(MATCH($A46,【全期間】成果表実測値!$B:$B,0),AO$31,4,TRUE,"【全期間】成果表実測値"))="","",-INDIRECT(ADDRESS(MATCH($A46,【全期間】成果表実測値!$B:$B,0),AO$31,4,TRUE,"【全期間】成果表実測値"))),"")</f>
        <v>-2.4</v>
      </c>
      <c r="AP46" s="282" t="str">
        <f ca="1">IFERROR(IF(INDIRECT(ADDRESS(MATCH($A46,【全期間】成果表実測値!$B:$B,0),AP$31,4,TRUE,"【全期間】成果表実測値"))="","",-INDIRECT(ADDRESS(MATCH($A46,【全期間】成果表実測値!$B:$B,0),AP$31,4,TRUE,"【全期間】成果表実測値"))),"")</f>
        <v/>
      </c>
      <c r="AQ46" s="283" t="str">
        <f ca="1">IFERROR(IF(INDIRECT(ADDRESS(MATCH($A46,【全期間】成果表実測値!$B:$B,0),AQ$31,4,TRUE,"【全期間】成果表実測値"))="","",-INDIRECT(ADDRESS(MATCH($A46,【全期間】成果表実測値!$B:$B,0),AQ$31,4,TRUE,"【全期間】成果表実測値"))),"")</f>
        <v/>
      </c>
      <c r="AR46" s="281">
        <f ca="1">IFERROR(IF(INDIRECT(ADDRESS(MATCH($A46,【全期間】成果表実測値!$B:$B,0),AR$31,4,TRUE,"【全期間】成果表実測値"))="","",-INDIRECT(ADDRESS(MATCH($A46,【全期間】成果表実測値!$B:$B,0),AR$31,4,TRUE,"【全期間】成果表実測値"))),"")</f>
        <v>-0.6</v>
      </c>
      <c r="AS46" s="282">
        <f ca="1">IFERROR(IF(INDIRECT(ADDRESS(MATCH($A46,【全期間】成果表実測値!$B:$B,0),AS$31,4,TRUE,"【全期間】成果表実測値"))="","",-INDIRECT(ADDRESS(MATCH($A46,【全期間】成果表実測値!$B:$B,0),AS$31,4,TRUE,"【全期間】成果表実測値"))),"")</f>
        <v>1.1000000000000001</v>
      </c>
      <c r="AT46" s="282">
        <f ca="1">IFERROR(IF(INDIRECT(ADDRESS(MATCH($A46,【全期間】成果表実測値!$B:$B,0),AT$31,4,TRUE,"【全期間】成果表実測値"))="","",-INDIRECT(ADDRESS(MATCH($A46,【全期間】成果表実測値!$B:$B,0),AT$31,4,TRUE,"【全期間】成果表実測値"))),"")</f>
        <v>-1.1000000000000001</v>
      </c>
      <c r="AU46" s="282">
        <f ca="1">IFERROR(IF(INDIRECT(ADDRESS(MATCH($A46,【全期間】成果表実測値!$B:$B,0),AU$31,4,TRUE,"【全期間】成果表実測値"))="","",-INDIRECT(ADDRESS(MATCH($A46,【全期間】成果表実測値!$B:$B,0),AU$31,4,TRUE,"【全期間】成果表実測値"))),"")</f>
        <v>0.9</v>
      </c>
      <c r="AV46" s="544" t="str">
        <f ca="1">IFERROR(IF(INDIRECT(ADDRESS(MATCH($A46,【全期間】成果表実測値!$B:$B,0),AV$31,4,TRUE,"【全期間】成果表実測値"))="","",-INDIRECT(ADDRESS(MATCH($A46,【全期間】成果表実測値!$B:$B,0),AV$31,4,TRUE,"【全期間】成果表実測値"))),"")</f>
        <v/>
      </c>
      <c r="AW46" s="552">
        <f ca="1">IFERROR(IF(INDIRECT(ADDRESS(MATCH($A46,【全期間】成果表実測値!$B:$B,0),AW$31,4,TRUE,"【全期間】成果表実測値"))="","",-INDIRECT(ADDRESS(MATCH($A46,【全期間】成果表実測値!$B:$B,0),AW$31,4,TRUE,"【全期間】成果表実測値"))),"")</f>
        <v>0.10000000000331966</v>
      </c>
      <c r="AX46" s="282">
        <f ca="1">IFERROR(IF(INDIRECT(ADDRESS(MATCH($A46,【全期間】成果表実測値!$B:$B,0),AX$31,4,TRUE,"【全期間】成果表実測値"))="","",-INDIRECT(ADDRESS(MATCH($A46,【全期間】成果表実測値!$B:$B,0),AX$31,4,TRUE,"【全期間】成果表実測値"))),"")</f>
        <v>-1.5000000000000568</v>
      </c>
      <c r="AY46" s="475">
        <f ca="1">IFERROR(IF(INDIRECT(ADDRESS(MATCH($A46,【全期間】成果表実測値!$B:$B,0),AY$31,4,TRUE,"【全期間】成果表実測値"))="","",-INDIRECT(ADDRESS(MATCH($A46,【全期間】成果表実測値!$B:$B,0),AY$31,4,TRUE,"【全期間】成果表実測値"))),"")</f>
        <v>-0.70000000000192131</v>
      </c>
      <c r="AZ46" s="282">
        <f ca="1">IFERROR(IF(INDIRECT(ADDRESS(MATCH($A46,【全期間】成果表実測値!$B:$B,0),AZ$31,4,TRUE,"【全期間】成果表実測値"))="","",-INDIRECT(ADDRESS(MATCH($A46,【全期間】成果表実測値!$B:$B,0),AZ$31,4,TRUE,"【全期間】成果表実測値"))),"")</f>
        <v>0.59999999999860165</v>
      </c>
      <c r="BA46" s="283">
        <f ca="1">IFERROR(IF(INDIRECT(ADDRESS(MATCH($A46,【全期間】成果表実測値!$B:$B,0),BA$31,4,TRUE,"【全期間】成果表実測値"))="","",-INDIRECT(ADDRESS(MATCH($A46,【全期間】成果表実測値!$B:$B,0),BA$31,4,TRUE,"【全期間】成果表実測値"))),"")</f>
        <v>-0.99999999999766942</v>
      </c>
      <c r="BB46" s="642">
        <f ca="1">IFERROR(IF(INDIRECT(ADDRESS(MATCH($A46,【全期間】成果表実測値!$B:$B,0),BB$31,4,TRUE,"【全期間】成果表実測値"))="","",-INDIRECT(ADDRESS(MATCH($A46,【全期間】成果表実測値!$B:$B,0),BB$31,4,TRUE,"【全期間】成果表実測値"))),"")</f>
        <v>9.9999999999766942E-2</v>
      </c>
    </row>
    <row r="47" spans="1:54">
      <c r="A47" s="305" t="str">
        <f t="shared" si="5"/>
        <v>74-20</v>
      </c>
      <c r="B47" s="263" t="str">
        <f t="shared" si="8"/>
        <v>13.中)南8条西2丁目</v>
      </c>
      <c r="C47" s="298" t="str">
        <f t="shared" ca="1" si="8"/>
        <v>豊水会館</v>
      </c>
      <c r="D47" s="397"/>
      <c r="E47" s="398"/>
      <c r="F47" s="399"/>
      <c r="G47" s="399"/>
      <c r="H47" s="320">
        <v>0</v>
      </c>
      <c r="I47" s="282">
        <f ca="1">IFERROR(IF(INDIRECT(ADDRESS(MATCH($A47,【全期間】成果表実測値!$B:$B,0),I$31,4,TRUE,"【全期間】成果表実測値"))="","",-INDIRECT(ADDRESS(MATCH($A47,【全期間】成果表実測値!$B:$B,0),I$31,4,TRUE,"【全期間】成果表実測値"))),"")</f>
        <v>-6.1</v>
      </c>
      <c r="J47" s="283">
        <f ca="1">IFERROR(IF(INDIRECT(ADDRESS(MATCH($A47,【全期間】成果表実測値!$B:$B,0),J$31,4,TRUE,"【全期間】成果表実測値"))="","",-INDIRECT(ADDRESS(MATCH($A47,【全期間】成果表実測値!$B:$B,0),J$31,4,TRUE,"【全期間】成果表実測値"))),"")</f>
        <v>-3.2</v>
      </c>
      <c r="K47" s="281">
        <f ca="1">IFERROR(IF(INDIRECT(ADDRESS(MATCH($A47,【全期間】成果表実測値!$B:$B,0),K$31,4,TRUE,"【全期間】成果表実測値"))="","",-INDIRECT(ADDRESS(MATCH($A47,【全期間】成果表実測値!$B:$B,0),K$31,4,TRUE,"【全期間】成果表実測値"))),"")</f>
        <v>-0.4</v>
      </c>
      <c r="L47" s="282" t="str">
        <f ca="1">IFERROR(IF(INDIRECT(ADDRESS(MATCH($A47,【全期間】成果表実測値!$B:$B,0),L$31,4,TRUE,"【全期間】成果表実測値"))="","",-INDIRECT(ADDRESS(MATCH($A47,【全期間】成果表実測値!$B:$B,0),L$31,4,TRUE,"【全期間】成果表実測値"))),"")</f>
        <v/>
      </c>
      <c r="M47" s="282">
        <f ca="1">IFERROR(IF(INDIRECT(ADDRESS(MATCH($A47,【全期間】成果表実測値!$B:$B,0),M$31,4,TRUE,"【全期間】成果表実測値"))="","",-INDIRECT(ADDRESS(MATCH($A47,【全期間】成果表実測値!$B:$B,0),M$31,4,TRUE,"【全期間】成果表実測値"))),"")</f>
        <v>-1.2</v>
      </c>
      <c r="N47" s="282" t="str">
        <f ca="1">IFERROR(IF(INDIRECT(ADDRESS(MATCH($A47,【全期間】成果表実測値!$B:$B,0),N$31,4,TRUE,"【全期間】成果表実測値"))="","",-INDIRECT(ADDRESS(MATCH($A47,【全期間】成果表実測値!$B:$B,0),N$31,4,TRUE,"【全期間】成果表実測値"))),"")</f>
        <v/>
      </c>
      <c r="O47" s="283" t="str">
        <f ca="1">IFERROR(IF(INDIRECT(ADDRESS(MATCH($A47,【全期間】成果表実測値!$B:$B,0),O$31,4,TRUE,"【全期間】成果表実測値"))="","",-INDIRECT(ADDRESS(MATCH($A47,【全期間】成果表実測値!$B:$B,0),O$31,4,TRUE,"【全期間】成果表実測値"))),"")</f>
        <v/>
      </c>
      <c r="P47" s="281" t="str">
        <f ca="1">IFERROR(IF(INDIRECT(ADDRESS(MATCH($A47,【全期間】成果表実測値!$B:$B,0),P$31,4,TRUE,"【全期間】成果表実測値"))="","",-INDIRECT(ADDRESS(MATCH($A47,【全期間】成果表実測値!$B:$B,0),P$31,4,TRUE,"【全期間】成果表実測値"))),"")</f>
        <v/>
      </c>
      <c r="Q47" s="282">
        <f ca="1">IFERROR(IF(INDIRECT(ADDRESS(MATCH($A47,【全期間】成果表実測値!$B:$B,0),Q$31,4,TRUE,"【全期間】成果表実測値"))="","",-INDIRECT(ADDRESS(MATCH($A47,【全期間】成果表実測値!$B:$B,0),Q$31,4,TRUE,"【全期間】成果表実測値"))),"")</f>
        <v>-14.5</v>
      </c>
      <c r="R47" s="282" t="str">
        <f ca="1">IFERROR(IF(INDIRECT(ADDRESS(MATCH($A47,【全期間】成果表実測値!$B:$B,0),R$31,4,TRUE,"【全期間】成果表実測値"))="","",-INDIRECT(ADDRESS(MATCH($A47,【全期間】成果表実測値!$B:$B,0),R$31,4,TRUE,"【全期間】成果表実測値"))),"")</f>
        <v/>
      </c>
      <c r="S47" s="283" t="str">
        <f ca="1">IFERROR(IF(INDIRECT(ADDRESS(MATCH($A47,【全期間】成果表実測値!$B:$B,0),S$31,4,TRUE,"【全期間】成果表実測値"))="","",-INDIRECT(ADDRESS(MATCH($A47,【全期間】成果表実測値!$B:$B,0),S$31,4,TRUE,"【全期間】成果表実測値"))),"")</f>
        <v/>
      </c>
      <c r="T47" s="281" t="str">
        <f ca="1">IFERROR(IF(INDIRECT(ADDRESS(MATCH($A47,【全期間】成果表実測値!$B:$B,0),T$31,4,TRUE,"【全期間】成果表実測値"))="","",-INDIRECT(ADDRESS(MATCH($A47,【全期間】成果表実測値!$B:$B,0),T$31,4,TRUE,"【全期間】成果表実測値"))),"")</f>
        <v/>
      </c>
      <c r="U47" s="282">
        <f ca="1">IFERROR(IF(INDIRECT(ADDRESS(MATCH($A47,【全期間】成果表実測値!$B:$B,0),U$31,4,TRUE,"【全期間】成果表実測値"))="","",-INDIRECT(ADDRESS(MATCH($A47,【全期間】成果表実測値!$B:$B,0),U$31,4,TRUE,"【全期間】成果表実測値"))),"")</f>
        <v>-7.6</v>
      </c>
      <c r="V47" s="282" t="str">
        <f ca="1">IFERROR(IF(INDIRECT(ADDRESS(MATCH($A47,【全期間】成果表実測値!$B:$B,0),V$31,4,TRUE,"【全期間】成果表実測値"))="","",-INDIRECT(ADDRESS(MATCH($A47,【全期間】成果表実測値!$B:$B,0),V$31,4,TRUE,"【全期間】成果表実測値"))),"")</f>
        <v/>
      </c>
      <c r="W47" s="283" t="str">
        <f ca="1">IFERROR(IF(INDIRECT(ADDRESS(MATCH($A47,【全期間】成果表実測値!$B:$B,0),W$31,4,TRUE,"【全期間】成果表実測値"))="","",-INDIRECT(ADDRESS(MATCH($A47,【全期間】成果表実測値!$B:$B,0),W$31,4,TRUE,"【全期間】成果表実測値"))),"")</f>
        <v/>
      </c>
      <c r="X47" s="281">
        <f ca="1">IFERROR(IF(INDIRECT(ADDRESS(MATCH($A47,【全期間】成果表実測値!$B:$B,0),X$31,4,TRUE,"【全期間】成果表実測値"))="","",-INDIRECT(ADDRESS(MATCH($A47,【全期間】成果表実測値!$B:$B,0),X$31,4,TRUE,"【全期間】成果表実測値"))),"")</f>
        <v>4.4000000000000004</v>
      </c>
      <c r="Y47" s="282" t="str">
        <f ca="1">IFERROR(IF(INDIRECT(ADDRESS(MATCH($A47,【全期間】成果表実測値!$B:$B,0),Y$31,4,TRUE,"【全期間】成果表実測値"))="","",-INDIRECT(ADDRESS(MATCH($A47,【全期間】成果表実測値!$B:$B,0),Y$31,4,TRUE,"【全期間】成果表実測値"))),"")</f>
        <v/>
      </c>
      <c r="Z47" s="282" t="str">
        <f ca="1">IFERROR(IF(INDIRECT(ADDRESS(MATCH($A47,【全期間】成果表実測値!$B:$B,0),Z$31,4,TRUE,"【全期間】成果表実測値"))="","",-INDIRECT(ADDRESS(MATCH($A47,【全期間】成果表実測値!$B:$B,0),Z$31,4,TRUE,"【全期間】成果表実測値"))),"")</f>
        <v/>
      </c>
      <c r="AA47" s="282">
        <f ca="1">IFERROR(IF(INDIRECT(ADDRESS(MATCH($A47,【全期間】成果表実測値!$B:$B,0),AA$31,4,TRUE,"【全期間】成果表実測値"))="","",-INDIRECT(ADDRESS(MATCH($A47,【全期間】成果表実測値!$B:$B,0),AA$31,4,TRUE,"【全期間】成果表実測値"))),"")</f>
        <v>-0.8</v>
      </c>
      <c r="AB47" s="283" t="str">
        <f ca="1">IFERROR(IF(INDIRECT(ADDRESS(MATCH($A47,【全期間】成果表実測値!$B:$B,0),AB$31,4,TRUE,"【全期間】成果表実測値"))="","",-INDIRECT(ADDRESS(MATCH($A47,【全期間】成果表実測値!$B:$B,0),AB$31,4,TRUE,"【全期間】成果表実測値"))),"")</f>
        <v/>
      </c>
      <c r="AC47" s="281" t="str">
        <f ca="1">IFERROR(IF(INDIRECT(ADDRESS(MATCH($A47,【全期間】成果表実測値!$B:$B,0),AC$31,4,TRUE,"【全期間】成果表実測値"))="","",-INDIRECT(ADDRESS(MATCH($A47,【全期間】成果表実測値!$B:$B,0),AC$31,4,TRUE,"【全期間】成果表実測値"))),"")</f>
        <v/>
      </c>
      <c r="AD47" s="282" t="str">
        <f ca="1">IFERROR(IF(INDIRECT(ADDRESS(MATCH($A47,【全期間】成果表実測値!$B:$B,0),AD$31,4,TRUE,"【全期間】成果表実測値"))="","",-INDIRECT(ADDRESS(MATCH($A47,【全期間】成果表実測値!$B:$B,0),AD$31,4,TRUE,"【全期間】成果表実測値"))),"")</f>
        <v/>
      </c>
      <c r="AE47" s="282" t="str">
        <f ca="1">IFERROR(IF(INDIRECT(ADDRESS(MATCH($A47,【全期間】成果表実測値!$B:$B,0),AE$31,4,TRUE,"【全期間】成果表実測値"))="","",-INDIRECT(ADDRESS(MATCH($A47,【全期間】成果表実測値!$B:$B,0),AE$31,4,TRUE,"【全期間】成果表実測値"))),"")</f>
        <v/>
      </c>
      <c r="AF47" s="282" t="str">
        <f ca="1">IFERROR(IF(INDIRECT(ADDRESS(MATCH($A47,【全期間】成果表実測値!$B:$B,0),AF$31,4,TRUE,"【全期間】成果表実測値"))="","",-INDIRECT(ADDRESS(MATCH($A47,【全期間】成果表実測値!$B:$B,0),AF$31,4,TRUE,"【全期間】成果表実測値"))),"")</f>
        <v/>
      </c>
      <c r="AG47" s="283" t="str">
        <f ca="1">IFERROR(IF(INDIRECT(ADDRESS(MATCH($A47,【全期間】成果表実測値!$B:$B,0),AG$31,4,TRUE,"【全期間】成果表実測値"))="","",-INDIRECT(ADDRESS(MATCH($A47,【全期間】成果表実測値!$B:$B,0),AG$31,4,TRUE,"【全期間】成果表実測値"))),"")</f>
        <v/>
      </c>
      <c r="AH47" s="281" t="str">
        <f ca="1">IFERROR(IF(INDIRECT(ADDRESS(MATCH($A47,【全期間】成果表実測値!$B:$B,0),AH$31,4,TRUE,"【全期間】成果表実測値"))="","",-INDIRECT(ADDRESS(MATCH($A47,【全期間】成果表実測値!$B:$B,0),AH$31,4,TRUE,"【全期間】成果表実測値"))),"")</f>
        <v/>
      </c>
      <c r="AI47" s="282">
        <f ca="1">IFERROR(IF(INDIRECT(ADDRESS(MATCH($A47,【全期間】成果表実測値!$B:$B,0),AI$31,4,TRUE,"【全期間】成果表実測値"))="","",-INDIRECT(ADDRESS(MATCH($A47,【全期間】成果表実測値!$B:$B,0),AI$31,4,TRUE,"【全期間】成果表実測値"))),"")</f>
        <v>-20.7</v>
      </c>
      <c r="AJ47" s="282" t="str">
        <f ca="1">IFERROR(IF(INDIRECT(ADDRESS(MATCH($A47,【全期間】成果表実測値!$B:$B,0),AJ$31,4,TRUE,"【全期間】成果表実測値"))="","",-INDIRECT(ADDRESS(MATCH($A47,【全期間】成果表実測値!$B:$B,0),AJ$31,4,TRUE,"【全期間】成果表実測値"))),"")</f>
        <v/>
      </c>
      <c r="AK47" s="282" t="str">
        <f ca="1">IFERROR(IF(INDIRECT(ADDRESS(MATCH($A47,【全期間】成果表実測値!$B:$B,0),AK$31,4,TRUE,"【全期間】成果表実測値"))="","",-INDIRECT(ADDRESS(MATCH($A47,【全期間】成果表実測値!$B:$B,0),AK$31,4,TRUE,"【全期間】成果表実測値"))),"")</f>
        <v/>
      </c>
      <c r="AL47" s="283" t="str">
        <f ca="1">IFERROR(IF(INDIRECT(ADDRESS(MATCH($A47,【全期間】成果表実測値!$B:$B,0),AL$31,4,TRUE,"【全期間】成果表実測値"))="","",-INDIRECT(ADDRESS(MATCH($A47,【全期間】成果表実測値!$B:$B,0),AL$31,4,TRUE,"【全期間】成果表実測値"))),"")</f>
        <v/>
      </c>
      <c r="AM47" s="281">
        <f ca="1">IFERROR(IF(INDIRECT(ADDRESS(MATCH($A47,【全期間】成果表実測値!$B:$B,0),AM$31,4,TRUE,"【全期間】成果表実測値"))="","",-INDIRECT(ADDRESS(MATCH($A47,【全期間】成果表実測値!$B:$B,0),AM$31,4,TRUE,"【全期間】成果表実測値"))),"")</f>
        <v>-1.6</v>
      </c>
      <c r="AN47" s="282">
        <f ca="1">IFERROR(IF(INDIRECT(ADDRESS(MATCH($A47,【全期間】成果表実測値!$B:$B,0),AN$31,4,TRUE,"【全期間】成果表実測値"))="","",-INDIRECT(ADDRESS(MATCH($A47,【全期間】成果表実測値!$B:$B,0),AN$31,4,TRUE,"【全期間】成果表実測値"))),"")</f>
        <v>3.7</v>
      </c>
      <c r="AO47" s="282">
        <f ca="1">IFERROR(IF(INDIRECT(ADDRESS(MATCH($A47,【全期間】成果表実測値!$B:$B,0),AO$31,4,TRUE,"【全期間】成果表実測値"))="","",-INDIRECT(ADDRESS(MATCH($A47,【全期間】成果表実測値!$B:$B,0),AO$31,4,TRUE,"【全期間】成果表実測値"))),"")</f>
        <v>-1.4</v>
      </c>
      <c r="AP47" s="282" t="str">
        <f ca="1">IFERROR(IF(INDIRECT(ADDRESS(MATCH($A47,【全期間】成果表実測値!$B:$B,0),AP$31,4,TRUE,"【全期間】成果表実測値"))="","",-INDIRECT(ADDRESS(MATCH($A47,【全期間】成果表実測値!$B:$B,0),AP$31,4,TRUE,"【全期間】成果表実測値"))),"")</f>
        <v/>
      </c>
      <c r="AQ47" s="283" t="str">
        <f ca="1">IFERROR(IF(INDIRECT(ADDRESS(MATCH($A47,【全期間】成果表実測値!$B:$B,0),AQ$31,4,TRUE,"【全期間】成果表実測値"))="","",-INDIRECT(ADDRESS(MATCH($A47,【全期間】成果表実測値!$B:$B,0),AQ$31,4,TRUE,"【全期間】成果表実測値"))),"")</f>
        <v/>
      </c>
      <c r="AR47" s="281">
        <f ca="1">IFERROR(IF(INDIRECT(ADDRESS(MATCH($A47,【全期間】成果表実測値!$B:$B,0),AR$31,4,TRUE,"【全期間】成果表実測値"))="","",-INDIRECT(ADDRESS(MATCH($A47,【全期間】成果表実測値!$B:$B,0),AR$31,4,TRUE,"【全期間】成果表実測値"))),"")</f>
        <v>-2.1</v>
      </c>
      <c r="AS47" s="282" t="str">
        <f ca="1">IFERROR(IF(INDIRECT(ADDRESS(MATCH($A47,【全期間】成果表実測値!$B:$B,0),AS$31,4,TRUE,"【全期間】成果表実測値"))="","",-INDIRECT(ADDRESS(MATCH($A47,【全期間】成果表実測値!$B:$B,0),AS$31,4,TRUE,"【全期間】成果表実測値"))),"")</f>
        <v/>
      </c>
      <c r="AT47" s="282">
        <f ca="1">IFERROR(IF(INDIRECT(ADDRESS(MATCH($A47,【全期間】成果表実測値!$B:$B,0),AT$31,4,TRUE,"【全期間】成果表実測値"))="","",-INDIRECT(ADDRESS(MATCH($A47,【全期間】成果表実測値!$B:$B,0),AT$31,4,TRUE,"【全期間】成果表実測値"))),"")</f>
        <v>1.5</v>
      </c>
      <c r="AU47" s="282">
        <f ca="1">IFERROR(IF(INDIRECT(ADDRESS(MATCH($A47,【全期間】成果表実測値!$B:$B,0),AU$31,4,TRUE,"【全期間】成果表実測値"))="","",-INDIRECT(ADDRESS(MATCH($A47,【全期間】成果表実測値!$B:$B,0),AU$31,4,TRUE,"【全期間】成果表実測値"))),"")</f>
        <v>-1.6</v>
      </c>
      <c r="AV47" s="544" t="str">
        <f ca="1">IFERROR(IF(INDIRECT(ADDRESS(MATCH($A47,【全期間】成果表実測値!$B:$B,0),AV$31,4,TRUE,"【全期間】成果表実測値"))="","",-INDIRECT(ADDRESS(MATCH($A47,【全期間】成果表実測値!$B:$B,0),AV$31,4,TRUE,"【全期間】成果表実測値"))),"")</f>
        <v/>
      </c>
      <c r="AW47" s="552">
        <f ca="1">IFERROR(IF(INDIRECT(ADDRESS(MATCH($A47,【全期間】成果表実測値!$B:$B,0),AW$31,4,TRUE,"【全期間】成果表実測値"))="","",-INDIRECT(ADDRESS(MATCH($A47,【全期間】成果表実測値!$B:$B,0),AW$31,4,TRUE,"【全期間】成果表実測値"))),"")</f>
        <v>1.300000000000523</v>
      </c>
      <c r="AX47" s="282" t="str">
        <f ca="1">IFERROR(IF(INDIRECT(ADDRESS(MATCH($A47,【全期間】成果表実測値!$B:$B,0),AX$31,4,TRUE,"【全期間】成果表実測値"))="","",-INDIRECT(ADDRESS(MATCH($A47,【全期間】成果表実測値!$B:$B,0),AX$31,4,TRUE,"【全期間】成果表実測値"))),"")</f>
        <v/>
      </c>
      <c r="AY47" s="475">
        <f ca="1">IFERROR(IF(INDIRECT(ADDRESS(MATCH($A47,【全期間】成果表実測値!$B:$B,0),AY$31,4,TRUE,"【全期間】成果表実測値"))="","",-INDIRECT(ADDRESS(MATCH($A47,【全期間】成果表実測値!$B:$B,0),AY$31,4,TRUE,"【全期間】成果表実測値"))),"")</f>
        <v>-5.2000000000020918</v>
      </c>
      <c r="AZ47" s="282">
        <f ca="1">IFERROR(IF(INDIRECT(ADDRESS(MATCH($A47,【全期間】成果表実測値!$B:$B,0),AZ$31,4,TRUE,"【全期間】成果表実測値"))="","",-INDIRECT(ADDRESS(MATCH($A47,【全期間】成果表実測値!$B:$B,0),AZ$31,4,TRUE,"【全期間】成果表実測値"))),"")</f>
        <v>-0.60000000000215437</v>
      </c>
      <c r="BA47" s="283">
        <f ca="1">IFERROR(IF(INDIRECT(ADDRESS(MATCH($A47,【全期間】成果表実測値!$B:$B,0),BA$31,4,TRUE,"【全期間】成果表実測値"))="","",-INDIRECT(ADDRESS(MATCH($A47,【全期間】成果表実測値!$B:$B,0),BA$31,4,TRUE,"【全期間】成果表実測値"))),"")</f>
        <v>-1.6999999999995907</v>
      </c>
      <c r="BB47" s="642" t="str">
        <f ca="1">IFERROR(IF(INDIRECT(ADDRESS(MATCH($A47,【全期間】成果表実測値!$B:$B,0),BB$31,4,TRUE,"【全期間】成果表実測値"))="","",-INDIRECT(ADDRESS(MATCH($A47,【全期間】成果表実測値!$B:$B,0),BB$31,4,TRUE,"【全期間】成果表実測値"))),"")</f>
        <v/>
      </c>
    </row>
    <row r="48" spans="1:54">
      <c r="A48" s="305">
        <f t="shared" si="5"/>
        <v>7409</v>
      </c>
      <c r="B48" s="263" t="str">
        <f t="shared" si="8"/>
        <v>14.中)北2条西25丁目</v>
      </c>
      <c r="C48" s="298" t="str">
        <f t="shared" ca="1" si="8"/>
        <v>シーアイマンション円山</v>
      </c>
      <c r="D48" s="319">
        <v>0</v>
      </c>
      <c r="E48" s="281">
        <f ca="1">IFERROR(IF(INDIRECT(ADDRESS(MATCH($A48,【全期間】成果表実測値!$B:$B,0),E$31,4,TRUE,"【全期間】成果表実測値"))="","",-INDIRECT(ADDRESS(MATCH($A48,【全期間】成果表実測値!$B:$B,0),E$31,4,TRUE,"【全期間】成果表実測値"))),"")</f>
        <v>-26.1</v>
      </c>
      <c r="F48" s="282">
        <f ca="1">IFERROR(IF(INDIRECT(ADDRESS(MATCH($A48,【全期間】成果表実測値!$B:$B,0),F$31,4,TRUE,"【全期間】成果表実測値"))="","",-INDIRECT(ADDRESS(MATCH($A48,【全期間】成果表実測値!$B:$B,0),F$31,4,TRUE,"【全期間】成果表実測値"))),"")</f>
        <v>4.2</v>
      </c>
      <c r="G48" s="282">
        <f ca="1">IFERROR(IF(INDIRECT(ADDRESS(MATCH($A48,【全期間】成果表実測値!$B:$B,0),G$31,4,TRUE,"【全期間】成果表実測値"))="","",-INDIRECT(ADDRESS(MATCH($A48,【全期間】成果表実測値!$B:$B,0),G$31,4,TRUE,"【全期間】成果表実測値"))),"")</f>
        <v>6.6</v>
      </c>
      <c r="H48" s="282" t="str">
        <f ca="1">IFERROR(IF(INDIRECT(ADDRESS(MATCH($A48,【全期間】成果表実測値!$B:$B,0),H$31,4,TRUE,"【全期間】成果表実測値"))="","",-INDIRECT(ADDRESS(MATCH($A48,【全期間】成果表実測値!$B:$B,0),H$31,4,TRUE,"【全期間】成果表実測値"))),"")</f>
        <v/>
      </c>
      <c r="I48" s="282">
        <f ca="1">IFERROR(IF(INDIRECT(ADDRESS(MATCH($A48,【全期間】成果表実測値!$B:$B,0),I$31,4,TRUE,"【全期間】成果表実測値"))="","",-INDIRECT(ADDRESS(MATCH($A48,【全期間】成果表実測値!$B:$B,0),I$31,4,TRUE,"【全期間】成果表実測値"))),"")</f>
        <v>-15.7</v>
      </c>
      <c r="J48" s="283">
        <f ca="1">IFERROR(IF(INDIRECT(ADDRESS(MATCH($A48,【全期間】成果表実測値!$B:$B,0),J$31,4,TRUE,"【全期間】成果表実測値"))="","",-INDIRECT(ADDRESS(MATCH($A48,【全期間】成果表実測値!$B:$B,0),J$31,4,TRUE,"【全期間】成果表実測値"))),"")</f>
        <v>-1</v>
      </c>
      <c r="K48" s="281">
        <f ca="1">IFERROR(IF(INDIRECT(ADDRESS(MATCH($A48,【全期間】成果表実測値!$B:$B,0),K$31,4,TRUE,"【全期間】成果表実測値"))="","",-INDIRECT(ADDRESS(MATCH($A48,【全期間】成果表実測値!$B:$B,0),K$31,4,TRUE,"【全期間】成果表実測値"))),"")</f>
        <v>-0.8</v>
      </c>
      <c r="L48" s="282">
        <f ca="1">IFERROR(IF(INDIRECT(ADDRESS(MATCH($A48,【全期間】成果表実測値!$B:$B,0),L$31,4,TRUE,"【全期間】成果表実測値"))="","",-INDIRECT(ADDRESS(MATCH($A48,【全期間】成果表実測値!$B:$B,0),L$31,4,TRUE,"【全期間】成果表実測値"))),"")</f>
        <v>1</v>
      </c>
      <c r="M48" s="282">
        <f ca="1">IFERROR(IF(INDIRECT(ADDRESS(MATCH($A48,【全期間】成果表実測値!$B:$B,0),M$31,4,TRUE,"【全期間】成果表実測値"))="","",-INDIRECT(ADDRESS(MATCH($A48,【全期間】成果表実測値!$B:$B,0),M$31,4,TRUE,"【全期間】成果表実測値"))),"")</f>
        <v>-1.9</v>
      </c>
      <c r="N48" s="282">
        <f ca="1">IFERROR(IF(INDIRECT(ADDRESS(MATCH($A48,【全期間】成果表実測値!$B:$B,0),N$31,4,TRUE,"【全期間】成果表実測値"))="","",-INDIRECT(ADDRESS(MATCH($A48,【全期間】成果表実測値!$B:$B,0),N$31,4,TRUE,"【全期間】成果表実測値"))),"")</f>
        <v>-1.1000000000000001</v>
      </c>
      <c r="O48" s="283">
        <f ca="1">IFERROR(IF(INDIRECT(ADDRESS(MATCH($A48,【全期間】成果表実測値!$B:$B,0),O$31,4,TRUE,"【全期間】成果表実測値"))="","",-INDIRECT(ADDRESS(MATCH($A48,【全期間】成果表実測値!$B:$B,0),O$31,4,TRUE,"【全期間】成果表実測値"))),"")</f>
        <v>-2.7</v>
      </c>
      <c r="P48" s="281">
        <f ca="1">IFERROR(IF(INDIRECT(ADDRESS(MATCH($A48,【全期間】成果表実測値!$B:$B,0),P$31,4,TRUE,"【全期間】成果表実測値"))="","",-INDIRECT(ADDRESS(MATCH($A48,【全期間】成果表実測値!$B:$B,0),P$31,4,TRUE,"【全期間】成果表実測値"))),"")</f>
        <v>-11.3</v>
      </c>
      <c r="Q48" s="282">
        <f ca="1">IFERROR(IF(INDIRECT(ADDRESS(MATCH($A48,【全期間】成果表実測値!$B:$B,0),Q$31,4,TRUE,"【全期間】成果表実測値"))="","",-INDIRECT(ADDRESS(MATCH($A48,【全期間】成果表実測値!$B:$B,0),Q$31,4,TRUE,"【全期間】成果表実測値"))),"")</f>
        <v>0.4</v>
      </c>
      <c r="R48" s="282" t="str">
        <f ca="1">IFERROR(IF(INDIRECT(ADDRESS(MATCH($A48,【全期間】成果表実測値!$B:$B,0),R$31,4,TRUE,"【全期間】成果表実測値"))="","",-INDIRECT(ADDRESS(MATCH($A48,【全期間】成果表実測値!$B:$B,0),R$31,4,TRUE,"【全期間】成果表実測値"))),"")</f>
        <v/>
      </c>
      <c r="S48" s="283" t="str">
        <f ca="1">IFERROR(IF(INDIRECT(ADDRESS(MATCH($A48,【全期間】成果表実測値!$B:$B,0),S$31,4,TRUE,"【全期間】成果表実測値"))="","",-INDIRECT(ADDRESS(MATCH($A48,【全期間】成果表実測値!$B:$B,0),S$31,4,TRUE,"【全期間】成果表実測値"))),"")</f>
        <v/>
      </c>
      <c r="T48" s="281" t="str">
        <f ca="1">IFERROR(IF(INDIRECT(ADDRESS(MATCH($A48,【全期間】成果表実測値!$B:$B,0),T$31,4,TRUE,"【全期間】成果表実測値"))="","",-INDIRECT(ADDRESS(MATCH($A48,【全期間】成果表実測値!$B:$B,0),T$31,4,TRUE,"【全期間】成果表実測値"))),"")</f>
        <v/>
      </c>
      <c r="U48" s="282">
        <f ca="1">IFERROR(IF(INDIRECT(ADDRESS(MATCH($A48,【全期間】成果表実測値!$B:$B,0),U$31,4,TRUE,"【全期間】成果表実測値"))="","",-INDIRECT(ADDRESS(MATCH($A48,【全期間】成果表実測値!$B:$B,0),U$31,4,TRUE,"【全期間】成果表実測値"))),"")</f>
        <v>-1.9</v>
      </c>
      <c r="V48" s="282" t="str">
        <f ca="1">IFERROR(IF(INDIRECT(ADDRESS(MATCH($A48,【全期間】成果表実測値!$B:$B,0),V$31,4,TRUE,"【全期間】成果表実測値"))="","",-INDIRECT(ADDRESS(MATCH($A48,【全期間】成果表実測値!$B:$B,0),V$31,4,TRUE,"【全期間】成果表実測値"))),"")</f>
        <v/>
      </c>
      <c r="W48" s="283" t="str">
        <f ca="1">IFERROR(IF(INDIRECT(ADDRESS(MATCH($A48,【全期間】成果表実測値!$B:$B,0),W$31,4,TRUE,"【全期間】成果表実測値"))="","",-INDIRECT(ADDRESS(MATCH($A48,【全期間】成果表実測値!$B:$B,0),W$31,4,TRUE,"【全期間】成果表実測値"))),"")</f>
        <v/>
      </c>
      <c r="X48" s="281">
        <f ca="1">IFERROR(IF(INDIRECT(ADDRESS(MATCH($A48,【全期間】成果表実測値!$B:$B,0),X$31,4,TRUE,"【全期間】成果表実測値"))="","",-INDIRECT(ADDRESS(MATCH($A48,【全期間】成果表実測値!$B:$B,0),X$31,4,TRUE,"【全期間】成果表実測値"))),"")</f>
        <v>-3.4</v>
      </c>
      <c r="Y48" s="282" t="str">
        <f ca="1">IFERROR(IF(INDIRECT(ADDRESS(MATCH($A48,【全期間】成果表実測値!$B:$B,0),Y$31,4,TRUE,"【全期間】成果表実測値"))="","",-INDIRECT(ADDRESS(MATCH($A48,【全期間】成果表実測値!$B:$B,0),Y$31,4,TRUE,"【全期間】成果表実測値"))),"")</f>
        <v/>
      </c>
      <c r="Z48" s="282" t="str">
        <f ca="1">IFERROR(IF(INDIRECT(ADDRESS(MATCH($A48,【全期間】成果表実測値!$B:$B,0),Z$31,4,TRUE,"【全期間】成果表実測値"))="","",-INDIRECT(ADDRESS(MATCH($A48,【全期間】成果表実測値!$B:$B,0),Z$31,4,TRUE,"【全期間】成果表実測値"))),"")</f>
        <v/>
      </c>
      <c r="AA48" s="282">
        <f ca="1">IFERROR(IF(INDIRECT(ADDRESS(MATCH($A48,【全期間】成果表実測値!$B:$B,0),AA$31,4,TRUE,"【全期間】成果表実測値"))="","",-INDIRECT(ADDRESS(MATCH($A48,【全期間】成果表実測値!$B:$B,0),AA$31,4,TRUE,"【全期間】成果表実測値"))),"")</f>
        <v>-3.7</v>
      </c>
      <c r="AB48" s="283" t="str">
        <f ca="1">IFERROR(IF(INDIRECT(ADDRESS(MATCH($A48,【全期間】成果表実測値!$B:$B,0),AB$31,4,TRUE,"【全期間】成果表実測値"))="","",-INDIRECT(ADDRESS(MATCH($A48,【全期間】成果表実測値!$B:$B,0),AB$31,4,TRUE,"【全期間】成果表実測値"))),"")</f>
        <v/>
      </c>
      <c r="AC48" s="281" t="str">
        <f ca="1">IFERROR(IF(INDIRECT(ADDRESS(MATCH($A48,【全期間】成果表実測値!$B:$B,0),AC$31,4,TRUE,"【全期間】成果表実測値"))="","",-INDIRECT(ADDRESS(MATCH($A48,【全期間】成果表実測値!$B:$B,0),AC$31,4,TRUE,"【全期間】成果表実測値"))),"")</f>
        <v/>
      </c>
      <c r="AD48" s="282" t="str">
        <f ca="1">IFERROR(IF(INDIRECT(ADDRESS(MATCH($A48,【全期間】成果表実測値!$B:$B,0),AD$31,4,TRUE,"【全期間】成果表実測値"))="","",-INDIRECT(ADDRESS(MATCH($A48,【全期間】成果表実測値!$B:$B,0),AD$31,4,TRUE,"【全期間】成果表実測値"))),"")</f>
        <v/>
      </c>
      <c r="AE48" s="282" t="str">
        <f ca="1">IFERROR(IF(INDIRECT(ADDRESS(MATCH($A48,【全期間】成果表実測値!$B:$B,0),AE$31,4,TRUE,"【全期間】成果表実測値"))="","",-INDIRECT(ADDRESS(MATCH($A48,【全期間】成果表実測値!$B:$B,0),AE$31,4,TRUE,"【全期間】成果表実測値"))),"")</f>
        <v/>
      </c>
      <c r="AF48" s="282" t="str">
        <f ca="1">IFERROR(IF(INDIRECT(ADDRESS(MATCH($A48,【全期間】成果表実測値!$B:$B,0),AF$31,4,TRUE,"【全期間】成果表実測値"))="","",-INDIRECT(ADDRESS(MATCH($A48,【全期間】成果表実測値!$B:$B,0),AF$31,4,TRUE,"【全期間】成果表実測値"))),"")</f>
        <v/>
      </c>
      <c r="AG48" s="283" t="str">
        <f ca="1">IFERROR(IF(INDIRECT(ADDRESS(MATCH($A48,【全期間】成果表実測値!$B:$B,0),AG$31,4,TRUE,"【全期間】成果表実測値"))="","",-INDIRECT(ADDRESS(MATCH($A48,【全期間】成果表実測値!$B:$B,0),AG$31,4,TRUE,"【全期間】成果表実測値"))),"")</f>
        <v/>
      </c>
      <c r="AH48" s="281" t="str">
        <f ca="1">IFERROR(IF(INDIRECT(ADDRESS(MATCH($A48,【全期間】成果表実測値!$B:$B,0),AH$31,4,TRUE,"【全期間】成果表実測値"))="","",-INDIRECT(ADDRESS(MATCH($A48,【全期間】成果表実測値!$B:$B,0),AH$31,4,TRUE,"【全期間】成果表実測値"))),"")</f>
        <v/>
      </c>
      <c r="AI48" s="282">
        <f ca="1">IFERROR(IF(INDIRECT(ADDRESS(MATCH($A48,【全期間】成果表実測値!$B:$B,0),AI$31,4,TRUE,"【全期間】成果表実測値"))="","",-INDIRECT(ADDRESS(MATCH($A48,【全期間】成果表実測値!$B:$B,0),AI$31,4,TRUE,"【全期間】成果表実測値"))),"")</f>
        <v>-14.1</v>
      </c>
      <c r="AJ48" s="282" t="str">
        <f ca="1">IFERROR(IF(INDIRECT(ADDRESS(MATCH($A48,【全期間】成果表実測値!$B:$B,0),AJ$31,4,TRUE,"【全期間】成果表実測値"))="","",-INDIRECT(ADDRESS(MATCH($A48,【全期間】成果表実測値!$B:$B,0),AJ$31,4,TRUE,"【全期間】成果表実測値"))),"")</f>
        <v/>
      </c>
      <c r="AK48" s="282" t="str">
        <f ca="1">IFERROR(IF(INDIRECT(ADDRESS(MATCH($A48,【全期間】成果表実測値!$B:$B,0),AK$31,4,TRUE,"【全期間】成果表実測値"))="","",-INDIRECT(ADDRESS(MATCH($A48,【全期間】成果表実測値!$B:$B,0),AK$31,4,TRUE,"【全期間】成果表実測値"))),"")</f>
        <v/>
      </c>
      <c r="AL48" s="283" t="str">
        <f ca="1">IFERROR(IF(INDIRECT(ADDRESS(MATCH($A48,【全期間】成果表実測値!$B:$B,0),AL$31,4,TRUE,"【全期間】成果表実測値"))="","",-INDIRECT(ADDRESS(MATCH($A48,【全期間】成果表実測値!$B:$B,0),AL$31,4,TRUE,"【全期間】成果表実測値"))),"")</f>
        <v/>
      </c>
      <c r="AM48" s="281" t="str">
        <f ca="1">IFERROR(IF(INDIRECT(ADDRESS(MATCH($A48,【全期間】成果表実測値!$B:$B,0),AM$31,4,TRUE,"【全期間】成果表実測値"))="","",-INDIRECT(ADDRESS(MATCH($A48,【全期間】成果表実測値!$B:$B,0),AM$31,4,TRUE,"【全期間】成果表実測値"))),"")</f>
        <v/>
      </c>
      <c r="AN48" s="282">
        <f ca="1">IFERROR(IF(INDIRECT(ADDRESS(MATCH($A48,【全期間】成果表実測値!$B:$B,0),AN$31,4,TRUE,"【全期間】成果表実測値"))="","",-INDIRECT(ADDRESS(MATCH($A48,【全期間】成果表実測値!$B:$B,0),AN$31,4,TRUE,"【全期間】成果表実測値"))),"")</f>
        <v>3.9</v>
      </c>
      <c r="AO48" s="282">
        <f ca="1">IFERROR(IF(INDIRECT(ADDRESS(MATCH($A48,【全期間】成果表実測値!$B:$B,0),AO$31,4,TRUE,"【全期間】成果表実測値"))="","",-INDIRECT(ADDRESS(MATCH($A48,【全期間】成果表実測値!$B:$B,0),AO$31,4,TRUE,"【全期間】成果表実測値"))),"")</f>
        <v>-0.9</v>
      </c>
      <c r="AP48" s="282" t="str">
        <f ca="1">IFERROR(IF(INDIRECT(ADDRESS(MATCH($A48,【全期間】成果表実測値!$B:$B,0),AP$31,4,TRUE,"【全期間】成果表実測値"))="","",-INDIRECT(ADDRESS(MATCH($A48,【全期間】成果表実測値!$B:$B,0),AP$31,4,TRUE,"【全期間】成果表実測値"))),"")</f>
        <v/>
      </c>
      <c r="AQ48" s="283" t="str">
        <f ca="1">IFERROR(IF(INDIRECT(ADDRESS(MATCH($A48,【全期間】成果表実測値!$B:$B,0),AQ$31,4,TRUE,"【全期間】成果表実測値"))="","",-INDIRECT(ADDRESS(MATCH($A48,【全期間】成果表実測値!$B:$B,0),AQ$31,4,TRUE,"【全期間】成果表実測値"))),"")</f>
        <v/>
      </c>
      <c r="AR48" s="281">
        <f ca="1">IFERROR(IF(INDIRECT(ADDRESS(MATCH($A48,【全期間】成果表実測値!$B:$B,0),AR$31,4,TRUE,"【全期間】成果表実測値"))="","",-INDIRECT(ADDRESS(MATCH($A48,【全期間】成果表実測値!$B:$B,0),AR$31,4,TRUE,"【全期間】成果表実測値"))),"")</f>
        <v>-3.5</v>
      </c>
      <c r="AS48" s="282">
        <f ca="1">IFERROR(IF(INDIRECT(ADDRESS(MATCH($A48,【全期間】成果表実測値!$B:$B,0),AS$31,4,TRUE,"【全期間】成果表実測値"))="","",-INDIRECT(ADDRESS(MATCH($A48,【全期間】成果表実測値!$B:$B,0),AS$31,4,TRUE,"【全期間】成果表実測値"))),"")</f>
        <v>0.3</v>
      </c>
      <c r="AT48" s="282">
        <f ca="1">IFERROR(IF(INDIRECT(ADDRESS(MATCH($A48,【全期間】成果表実測値!$B:$B,0),AT$31,4,TRUE,"【全期間】成果表実測値"))="","",-INDIRECT(ADDRESS(MATCH($A48,【全期間】成果表実測値!$B:$B,0),AT$31,4,TRUE,"【全期間】成果表実測値"))),"")</f>
        <v>-2.2999999999999998</v>
      </c>
      <c r="AU48" s="282">
        <f ca="1">IFERROR(IF(INDIRECT(ADDRESS(MATCH($A48,【全期間】成果表実測値!$B:$B,0),AU$31,4,TRUE,"【全期間】成果表実測値"))="","",-INDIRECT(ADDRESS(MATCH($A48,【全期間】成果表実測値!$B:$B,0),AU$31,4,TRUE,"【全期間】成果表実測値"))),"")</f>
        <v>-0.1</v>
      </c>
      <c r="AV48" s="544" t="str">
        <f ca="1">IFERROR(IF(INDIRECT(ADDRESS(MATCH($A48,【全期間】成果表実測値!$B:$B,0),AV$31,4,TRUE,"【全期間】成果表実測値"))="","",-INDIRECT(ADDRESS(MATCH($A48,【全期間】成果表実測値!$B:$B,0),AV$31,4,TRUE,"【全期間】成果表実測値"))),"")</f>
        <v/>
      </c>
      <c r="AW48" s="552">
        <f ca="1">IFERROR(IF(INDIRECT(ADDRESS(MATCH($A48,【全期間】成果表実測値!$B:$B,0),AW$31,4,TRUE,"【全期間】成果表実測値"))="","",-INDIRECT(ADDRESS(MATCH($A48,【全期間】成果表実測値!$B:$B,0),AW$31,4,TRUE,"【全期間】成果表実測値"))),"")</f>
        <v>-1.1000000000009891</v>
      </c>
      <c r="AX48" s="282">
        <f ca="1">IFERROR(IF(INDIRECT(ADDRESS(MATCH($A48,【全期間】成果表実測値!$B:$B,0),AX$31,4,TRUE,"【全期間】成果表実測値"))="","",-INDIRECT(ADDRESS(MATCH($A48,【全期間】成果表実測値!$B:$B,0),AX$31,4,TRUE,"【全期間】成果表実測値"))),"")</f>
        <v>-3.1999999999996476</v>
      </c>
      <c r="AY48" s="475">
        <f ca="1">IFERROR(IF(INDIRECT(ADDRESS(MATCH($A48,【全期間】成果表実測値!$B:$B,0),AY$31,4,TRUE,"【全期間】成果表実測値"))="","",-INDIRECT(ADDRESS(MATCH($A48,【全期間】成果表実測値!$B:$B,0),AY$31,4,TRUE,"【全期間】成果表実測値"))),"")</f>
        <v>-0.59999999999860165</v>
      </c>
      <c r="AZ48" s="282">
        <f ca="1">IFERROR(IF(INDIRECT(ADDRESS(MATCH($A48,【全期間】成果表実測値!$B:$B,0),AZ$31,4,TRUE,"【全期間】成果表実測値"))="","",-INDIRECT(ADDRESS(MATCH($A48,【全期間】成果表実測値!$B:$B,0),AZ$31,4,TRUE,"【全期間】成果表実測値"))),"")</f>
        <v>-0.60000000000215437</v>
      </c>
      <c r="BA48" s="283">
        <f ca="1">IFERROR(IF(INDIRECT(ADDRESS(MATCH($A48,【全期間】成果表実測値!$B:$B,0),BA$31,4,TRUE,"【全期間】成果表実測値"))="","",-INDIRECT(ADDRESS(MATCH($A48,【全期間】成果表実測値!$B:$B,0),BA$31,4,TRUE,"【全期間】成果表実測値"))),"")</f>
        <v>-1.6999999999995907</v>
      </c>
      <c r="BB48" s="642">
        <f ca="1">IFERROR(IF(INDIRECT(ADDRESS(MATCH($A48,【全期間】成果表実測値!$B:$B,0),BB$31,4,TRUE,"【全期間】成果表実測値"))="","",-INDIRECT(ADDRESS(MATCH($A48,【全期間】成果表実測値!$B:$B,0),BB$31,4,TRUE,"【全期間】成果表実測値"))),"")</f>
        <v>-0.19999999999953388</v>
      </c>
    </row>
    <row r="49" spans="1:54">
      <c r="A49" s="305">
        <f t="shared" si="5"/>
        <v>7408</v>
      </c>
      <c r="B49" s="263" t="str">
        <f t="shared" si="8"/>
        <v>15.西)山の手2条1丁目</v>
      </c>
      <c r="C49" s="298" t="str">
        <f t="shared" ca="1" si="8"/>
        <v>日登寺</v>
      </c>
      <c r="D49" s="319">
        <v>0</v>
      </c>
      <c r="E49" s="281">
        <f ca="1">IFERROR(IF(INDIRECT(ADDRESS(MATCH($A49,【全期間】成果表実測値!$B:$B,0),E$31,4,TRUE,"【全期間】成果表実測値"))="","",-INDIRECT(ADDRESS(MATCH($A49,【全期間】成果表実測値!$B:$B,0),E$31,4,TRUE,"【全期間】成果表実測値"))),"")</f>
        <v>-26.4</v>
      </c>
      <c r="F49" s="282">
        <f ca="1">IFERROR(IF(INDIRECT(ADDRESS(MATCH($A49,【全期間】成果表実測値!$B:$B,0),F$31,4,TRUE,"【全期間】成果表実測値"))="","",-INDIRECT(ADDRESS(MATCH($A49,【全期間】成果表実測値!$B:$B,0),F$31,4,TRUE,"【全期間】成果表実測値"))),"")</f>
        <v>4.5999999999999996</v>
      </c>
      <c r="G49" s="282">
        <f ca="1">IFERROR(IF(INDIRECT(ADDRESS(MATCH($A49,【全期間】成果表実測値!$B:$B,0),G$31,4,TRUE,"【全期間】成果表実測値"))="","",-INDIRECT(ADDRESS(MATCH($A49,【全期間】成果表実測値!$B:$B,0),G$31,4,TRUE,"【全期間】成果表実測値"))),"")</f>
        <v>4.0999999999999996</v>
      </c>
      <c r="H49" s="282" t="str">
        <f ca="1">IFERROR(IF(INDIRECT(ADDRESS(MATCH($A49,【全期間】成果表実測値!$B:$B,0),H$31,4,TRUE,"【全期間】成果表実測値"))="","",-INDIRECT(ADDRESS(MATCH($A49,【全期間】成果表実測値!$B:$B,0),H$31,4,TRUE,"【全期間】成果表実測値"))),"")</f>
        <v/>
      </c>
      <c r="I49" s="282">
        <f ca="1">IFERROR(IF(INDIRECT(ADDRESS(MATCH($A49,【全期間】成果表実測値!$B:$B,0),I$31,4,TRUE,"【全期間】成果表実測値"))="","",-INDIRECT(ADDRESS(MATCH($A49,【全期間】成果表実測値!$B:$B,0),I$31,4,TRUE,"【全期間】成果表実測値"))),"")</f>
        <v>-7.5</v>
      </c>
      <c r="J49" s="283">
        <f ca="1">IFERROR(IF(INDIRECT(ADDRESS(MATCH($A49,【全期間】成果表実測値!$B:$B,0),J$31,4,TRUE,"【全期間】成果表実測値"))="","",-INDIRECT(ADDRESS(MATCH($A49,【全期間】成果表実測値!$B:$B,0),J$31,4,TRUE,"【全期間】成果表実測値"))),"")</f>
        <v>0.2</v>
      </c>
      <c r="K49" s="281">
        <f ca="1">IFERROR(IF(INDIRECT(ADDRESS(MATCH($A49,【全期間】成果表実測値!$B:$B,0),K$31,4,TRUE,"【全期間】成果表実測値"))="","",-INDIRECT(ADDRESS(MATCH($A49,【全期間】成果表実測値!$B:$B,0),K$31,4,TRUE,"【全期間】成果表実測値"))),"")</f>
        <v>-2.5</v>
      </c>
      <c r="L49" s="282">
        <f ca="1">IFERROR(IF(INDIRECT(ADDRESS(MATCH($A49,【全期間】成果表実測値!$B:$B,0),L$31,4,TRUE,"【全期間】成果表実測値"))="","",-INDIRECT(ADDRESS(MATCH($A49,【全期間】成果表実測値!$B:$B,0),L$31,4,TRUE,"【全期間】成果表実測値"))),"")</f>
        <v>4.4000000000000004</v>
      </c>
      <c r="M49" s="282">
        <f ca="1">IFERROR(IF(INDIRECT(ADDRESS(MATCH($A49,【全期間】成果表実測値!$B:$B,0),M$31,4,TRUE,"【全期間】成果表実測値"))="","",-INDIRECT(ADDRESS(MATCH($A49,【全期間】成果表実測値!$B:$B,0),M$31,4,TRUE,"【全期間】成果表実測値"))),"")</f>
        <v>-3.2</v>
      </c>
      <c r="N49" s="282">
        <f ca="1">IFERROR(IF(INDIRECT(ADDRESS(MATCH($A49,【全期間】成果表実測値!$B:$B,0),N$31,4,TRUE,"【全期間】成果表実測値"))="","",-INDIRECT(ADDRESS(MATCH($A49,【全期間】成果表実測値!$B:$B,0),N$31,4,TRUE,"【全期間】成果表実測値"))),"")</f>
        <v>1.6</v>
      </c>
      <c r="O49" s="283">
        <f ca="1">IFERROR(IF(INDIRECT(ADDRESS(MATCH($A49,【全期間】成果表実測値!$B:$B,0),O$31,4,TRUE,"【全期間】成果表実測値"))="","",-INDIRECT(ADDRESS(MATCH($A49,【全期間】成果表実測値!$B:$B,0),O$31,4,TRUE,"【全期間】成果表実測値"))),"")</f>
        <v>-1.8</v>
      </c>
      <c r="P49" s="281">
        <f ca="1">IFERROR(IF(INDIRECT(ADDRESS(MATCH($A49,【全期間】成果表実測値!$B:$B,0),P$31,4,TRUE,"【全期間】成果表実測値"))="","",-INDIRECT(ADDRESS(MATCH($A49,【全期間】成果表実測値!$B:$B,0),P$31,4,TRUE,"【全期間】成果表実測値"))),"")</f>
        <v>-5.7</v>
      </c>
      <c r="Q49" s="282">
        <f ca="1">IFERROR(IF(INDIRECT(ADDRESS(MATCH($A49,【全期間】成果表実測値!$B:$B,0),Q$31,4,TRUE,"【全期間】成果表実測値"))="","",-INDIRECT(ADDRESS(MATCH($A49,【全期間】成果表実測値!$B:$B,0),Q$31,4,TRUE,"【全期間】成果表実測値"))),"")</f>
        <v>0.9</v>
      </c>
      <c r="R49" s="282" t="str">
        <f ca="1">IFERROR(IF(INDIRECT(ADDRESS(MATCH($A49,【全期間】成果表実測値!$B:$B,0),R$31,4,TRUE,"【全期間】成果表実測値"))="","",-INDIRECT(ADDRESS(MATCH($A49,【全期間】成果表実測値!$B:$B,0),R$31,4,TRUE,"【全期間】成果表実測値"))),"")</f>
        <v/>
      </c>
      <c r="S49" s="283" t="str">
        <f ca="1">IFERROR(IF(INDIRECT(ADDRESS(MATCH($A49,【全期間】成果表実測値!$B:$B,0),S$31,4,TRUE,"【全期間】成果表実測値"))="","",-INDIRECT(ADDRESS(MATCH($A49,【全期間】成果表実測値!$B:$B,0),S$31,4,TRUE,"【全期間】成果表実測値"))),"")</f>
        <v/>
      </c>
      <c r="T49" s="281" t="str">
        <f ca="1">IFERROR(IF(INDIRECT(ADDRESS(MATCH($A49,【全期間】成果表実測値!$B:$B,0),T$31,4,TRUE,"【全期間】成果表実測値"))="","",-INDIRECT(ADDRESS(MATCH($A49,【全期間】成果表実測値!$B:$B,0),T$31,4,TRUE,"【全期間】成果表実測値"))),"")</f>
        <v/>
      </c>
      <c r="U49" s="282">
        <f ca="1">IFERROR(IF(INDIRECT(ADDRESS(MATCH($A49,【全期間】成果表実測値!$B:$B,0),U$31,4,TRUE,"【全期間】成果表実測値"))="","",-INDIRECT(ADDRESS(MATCH($A49,【全期間】成果表実測値!$B:$B,0),U$31,4,TRUE,"【全期間】成果表実測値"))),"")</f>
        <v>-2.2000000000000002</v>
      </c>
      <c r="V49" s="282" t="str">
        <f ca="1">IFERROR(IF(INDIRECT(ADDRESS(MATCH($A49,【全期間】成果表実測値!$B:$B,0),V$31,4,TRUE,"【全期間】成果表実測値"))="","",-INDIRECT(ADDRESS(MATCH($A49,【全期間】成果表実測値!$B:$B,0),V$31,4,TRUE,"【全期間】成果表実測値"))),"")</f>
        <v/>
      </c>
      <c r="W49" s="283" t="str">
        <f ca="1">IFERROR(IF(INDIRECT(ADDRESS(MATCH($A49,【全期間】成果表実測値!$B:$B,0),W$31,4,TRUE,"【全期間】成果表実測値"))="","",-INDIRECT(ADDRESS(MATCH($A49,【全期間】成果表実測値!$B:$B,0),W$31,4,TRUE,"【全期間】成果表実測値"))),"")</f>
        <v/>
      </c>
      <c r="X49" s="281">
        <f ca="1">IFERROR(IF(INDIRECT(ADDRESS(MATCH($A49,【全期間】成果表実測値!$B:$B,0),X$31,4,TRUE,"【全期間】成果表実測値"))="","",-INDIRECT(ADDRESS(MATCH($A49,【全期間】成果表実測値!$B:$B,0),X$31,4,TRUE,"【全期間】成果表実測値"))),"")</f>
        <v>-3</v>
      </c>
      <c r="Y49" s="282" t="str">
        <f ca="1">IFERROR(IF(INDIRECT(ADDRESS(MATCH($A49,【全期間】成果表実測値!$B:$B,0),Y$31,4,TRUE,"【全期間】成果表実測値"))="","",-INDIRECT(ADDRESS(MATCH($A49,【全期間】成果表実測値!$B:$B,0),Y$31,4,TRUE,"【全期間】成果表実測値"))),"")</f>
        <v/>
      </c>
      <c r="Z49" s="282" t="str">
        <f ca="1">IFERROR(IF(INDIRECT(ADDRESS(MATCH($A49,【全期間】成果表実測値!$B:$B,0),Z$31,4,TRUE,"【全期間】成果表実測値"))="","",-INDIRECT(ADDRESS(MATCH($A49,【全期間】成果表実測値!$B:$B,0),Z$31,4,TRUE,"【全期間】成果表実測値"))),"")</f>
        <v/>
      </c>
      <c r="AA49" s="282">
        <f ca="1">IFERROR(IF(INDIRECT(ADDRESS(MATCH($A49,【全期間】成果表実測値!$B:$B,0),AA$31,4,TRUE,"【全期間】成果表実測値"))="","",-INDIRECT(ADDRESS(MATCH($A49,【全期間】成果表実測値!$B:$B,0),AA$31,4,TRUE,"【全期間】成果表実測値"))),"")</f>
        <v>-1.9</v>
      </c>
      <c r="AB49" s="283" t="str">
        <f ca="1">IFERROR(IF(INDIRECT(ADDRESS(MATCH($A49,【全期間】成果表実測値!$B:$B,0),AB$31,4,TRUE,"【全期間】成果表実測値"))="","",-INDIRECT(ADDRESS(MATCH($A49,【全期間】成果表実測値!$B:$B,0),AB$31,4,TRUE,"【全期間】成果表実測値"))),"")</f>
        <v/>
      </c>
      <c r="AC49" s="281" t="str">
        <f ca="1">IFERROR(IF(INDIRECT(ADDRESS(MATCH($A49,【全期間】成果表実測値!$B:$B,0),AC$31,4,TRUE,"【全期間】成果表実測値"))="","",-INDIRECT(ADDRESS(MATCH($A49,【全期間】成果表実測値!$B:$B,0),AC$31,4,TRUE,"【全期間】成果表実測値"))),"")</f>
        <v/>
      </c>
      <c r="AD49" s="282" t="str">
        <f ca="1">IFERROR(IF(INDIRECT(ADDRESS(MATCH($A49,【全期間】成果表実測値!$B:$B,0),AD$31,4,TRUE,"【全期間】成果表実測値"))="","",-INDIRECT(ADDRESS(MATCH($A49,【全期間】成果表実測値!$B:$B,0),AD$31,4,TRUE,"【全期間】成果表実測値"))),"")</f>
        <v/>
      </c>
      <c r="AE49" s="282" t="str">
        <f ca="1">IFERROR(IF(INDIRECT(ADDRESS(MATCH($A49,【全期間】成果表実測値!$B:$B,0),AE$31,4,TRUE,"【全期間】成果表実測値"))="","",-INDIRECT(ADDRESS(MATCH($A49,【全期間】成果表実測値!$B:$B,0),AE$31,4,TRUE,"【全期間】成果表実測値"))),"")</f>
        <v/>
      </c>
      <c r="AF49" s="282" t="str">
        <f ca="1">IFERROR(IF(INDIRECT(ADDRESS(MATCH($A49,【全期間】成果表実測値!$B:$B,0),AF$31,4,TRUE,"【全期間】成果表実測値"))="","",-INDIRECT(ADDRESS(MATCH($A49,【全期間】成果表実測値!$B:$B,0),AF$31,4,TRUE,"【全期間】成果表実測値"))),"")</f>
        <v/>
      </c>
      <c r="AG49" s="283" t="str">
        <f ca="1">IFERROR(IF(INDIRECT(ADDRESS(MATCH($A49,【全期間】成果表実測値!$B:$B,0),AG$31,4,TRUE,"【全期間】成果表実測値"))="","",-INDIRECT(ADDRESS(MATCH($A49,【全期間】成果表実測値!$B:$B,0),AG$31,4,TRUE,"【全期間】成果表実測値"))),"")</f>
        <v/>
      </c>
      <c r="AH49" s="281" t="str">
        <f ca="1">IFERROR(IF(INDIRECT(ADDRESS(MATCH($A49,【全期間】成果表実測値!$B:$B,0),AH$31,4,TRUE,"【全期間】成果表実測値"))="","",-INDIRECT(ADDRESS(MATCH($A49,【全期間】成果表実測値!$B:$B,0),AH$31,4,TRUE,"【全期間】成果表実測値"))),"")</f>
        <v/>
      </c>
      <c r="AI49" s="282">
        <f ca="1">IFERROR(IF(INDIRECT(ADDRESS(MATCH($A49,【全期間】成果表実測値!$B:$B,0),AI$31,4,TRUE,"【全期間】成果表実測値"))="","",-INDIRECT(ADDRESS(MATCH($A49,【全期間】成果表実測値!$B:$B,0),AI$31,4,TRUE,"【全期間】成果表実測値"))),"")</f>
        <v>-3.3</v>
      </c>
      <c r="AJ49" s="282" t="str">
        <f ca="1">IFERROR(IF(INDIRECT(ADDRESS(MATCH($A49,【全期間】成果表実測値!$B:$B,0),AJ$31,4,TRUE,"【全期間】成果表実測値"))="","",-INDIRECT(ADDRESS(MATCH($A49,【全期間】成果表実測値!$B:$B,0),AJ$31,4,TRUE,"【全期間】成果表実測値"))),"")</f>
        <v/>
      </c>
      <c r="AK49" s="282" t="str">
        <f ca="1">IFERROR(IF(INDIRECT(ADDRESS(MATCH($A49,【全期間】成果表実測値!$B:$B,0),AK$31,4,TRUE,"【全期間】成果表実測値"))="","",-INDIRECT(ADDRESS(MATCH($A49,【全期間】成果表実測値!$B:$B,0),AK$31,4,TRUE,"【全期間】成果表実測値"))),"")</f>
        <v/>
      </c>
      <c r="AL49" s="283" t="str">
        <f ca="1">IFERROR(IF(INDIRECT(ADDRESS(MATCH($A49,【全期間】成果表実測値!$B:$B,0),AL$31,4,TRUE,"【全期間】成果表実測値"))="","",-INDIRECT(ADDRESS(MATCH($A49,【全期間】成果表実測値!$B:$B,0),AL$31,4,TRUE,"【全期間】成果表実測値"))),"")</f>
        <v/>
      </c>
      <c r="AM49" s="281">
        <f ca="1">IFERROR(IF(INDIRECT(ADDRESS(MATCH($A49,【全期間】成果表実測値!$B:$B,0),AM$31,4,TRUE,"【全期間】成果表実測値"))="","",-INDIRECT(ADDRESS(MATCH($A49,【全期間】成果表実測値!$B:$B,0),AM$31,4,TRUE,"【全期間】成果表実測値"))),"")</f>
        <v>-4</v>
      </c>
      <c r="AN49" s="282">
        <f ca="1">IFERROR(IF(INDIRECT(ADDRESS(MATCH($A49,【全期間】成果表実測値!$B:$B,0),AN$31,4,TRUE,"【全期間】成果表実測値"))="","",-INDIRECT(ADDRESS(MATCH($A49,【全期間】成果表実測値!$B:$B,0),AN$31,4,TRUE,"【全期間】成果表実測値"))),"")</f>
        <v>3.3</v>
      </c>
      <c r="AO49" s="282">
        <f ca="1">IFERROR(IF(INDIRECT(ADDRESS(MATCH($A49,【全期間】成果表実測値!$B:$B,0),AO$31,4,TRUE,"【全期間】成果表実測値"))="","",-INDIRECT(ADDRESS(MATCH($A49,【全期間】成果表実測値!$B:$B,0),AO$31,4,TRUE,"【全期間】成果表実測値"))),"")</f>
        <v>1</v>
      </c>
      <c r="AP49" s="282">
        <f ca="1">IFERROR(IF(INDIRECT(ADDRESS(MATCH($A49,【全期間】成果表実測値!$B:$B,0),AP$31,4,TRUE,"【全期間】成果表実測値"))="","",-INDIRECT(ADDRESS(MATCH($A49,【全期間】成果表実測値!$B:$B,0),AP$31,4,TRUE,"【全期間】成果表実測値"))),"")</f>
        <v>2.2000000000000002</v>
      </c>
      <c r="AQ49" s="283">
        <f ca="1">IFERROR(IF(INDIRECT(ADDRESS(MATCH($A49,【全期間】成果表実測値!$B:$B,0),AQ$31,4,TRUE,"【全期間】成果表実測値"))="","",-INDIRECT(ADDRESS(MATCH($A49,【全期間】成果表実測値!$B:$B,0),AQ$31,4,TRUE,"【全期間】成果表実測値"))),"")</f>
        <v>-3.3</v>
      </c>
      <c r="AR49" s="281">
        <f ca="1">IFERROR(IF(INDIRECT(ADDRESS(MATCH($A49,【全期間】成果表実測値!$B:$B,0),AR$31,4,TRUE,"【全期間】成果表実測値"))="","",-INDIRECT(ADDRESS(MATCH($A49,【全期間】成果表実測値!$B:$B,0),AR$31,4,TRUE,"【全期間】成果表実測値"))),"")</f>
        <v>0.1</v>
      </c>
      <c r="AS49" s="282">
        <f ca="1">IFERROR(IF(INDIRECT(ADDRESS(MATCH($A49,【全期間】成果表実測値!$B:$B,0),AS$31,4,TRUE,"【全期間】成果表実測値"))="","",-INDIRECT(ADDRESS(MATCH($A49,【全期間】成果表実測値!$B:$B,0),AS$31,4,TRUE,"【全期間】成果表実測値"))),"")</f>
        <v>1</v>
      </c>
      <c r="AT49" s="282">
        <f ca="1">IFERROR(IF(INDIRECT(ADDRESS(MATCH($A49,【全期間】成果表実測値!$B:$B,0),AT$31,4,TRUE,"【全期間】成果表実測値"))="","",-INDIRECT(ADDRESS(MATCH($A49,【全期間】成果表実測値!$B:$B,0),AT$31,4,TRUE,"【全期間】成果表実測値"))),"")</f>
        <v>-0.2</v>
      </c>
      <c r="AU49" s="282">
        <f ca="1">IFERROR(IF(INDIRECT(ADDRESS(MATCH($A49,【全期間】成果表実測値!$B:$B,0),AU$31,4,TRUE,"【全期間】成果表実測値"))="","",-INDIRECT(ADDRESS(MATCH($A49,【全期間】成果表実測値!$B:$B,0),AU$31,4,TRUE,"【全期間】成果表実測値"))),"")</f>
        <v>0.8</v>
      </c>
      <c r="AV49" s="544" t="str">
        <f ca="1">IFERROR(IF(INDIRECT(ADDRESS(MATCH($A49,【全期間】成果表実測値!$B:$B,0),AV$31,4,TRUE,"【全期間】成果表実測値"))="","",-INDIRECT(ADDRESS(MATCH($A49,【全期間】成果表実測値!$B:$B,0),AV$31,4,TRUE,"【全期間】成果表実測値"))),"")</f>
        <v/>
      </c>
      <c r="AW49" s="552">
        <f ca="1">IFERROR(IF(INDIRECT(ADDRESS(MATCH($A49,【全期間】成果表実測値!$B:$B,0),AW$31,4,TRUE,"【全期間】成果表実測値"))="","",-INDIRECT(ADDRESS(MATCH($A49,【全期間】成果表実測値!$B:$B,0),AW$31,4,TRUE,"【全期間】成果表実測値"))),"")</f>
        <v>0.19999999999953388</v>
      </c>
      <c r="AX49" s="282">
        <f ca="1">IFERROR(IF(INDIRECT(ADDRESS(MATCH($A49,【全期間】成果表実測値!$B:$B,0),AX$31,4,TRUE,"【全期間】成果表実測値"))="","",-INDIRECT(ADDRESS(MATCH($A49,【全期間】成果表実測値!$B:$B,0),AX$31,4,TRUE,"【全期間】成果表実測値"))),"")</f>
        <v>-1.4000000000002899</v>
      </c>
      <c r="AY49" s="475">
        <f ca="1">IFERROR(IF(INDIRECT(ADDRESS(MATCH($A49,【全期間】成果表実測値!$B:$B,0),AY$31,4,TRUE,"【全期間】成果表実測値"))="","",-INDIRECT(ADDRESS(MATCH($A49,【全期間】成果表実測値!$B:$B,0),AY$31,4,TRUE,"【全期間】成果表実測値"))),"")</f>
        <v>-0.59999999999860165</v>
      </c>
      <c r="AZ49" s="282">
        <f ca="1">IFERROR(IF(INDIRECT(ADDRESS(MATCH($A49,【全期間】成果表実測値!$B:$B,0),AZ$31,4,TRUE,"【全期間】成果表実測値"))="","",-INDIRECT(ADDRESS(MATCH($A49,【全期間】成果表実測値!$B:$B,0),AZ$31,4,TRUE,"【全期間】成果表実測値"))),"")</f>
        <v>0.49999999999883471</v>
      </c>
      <c r="BA49" s="283">
        <f ca="1">IFERROR(IF(INDIRECT(ADDRESS(MATCH($A49,【全期間】成果表実測値!$B:$B,0),BA$31,4,TRUE,"【全期間】成果表実測値"))="","",-INDIRECT(ADDRESS(MATCH($A49,【全期間】成果表実測値!$B:$B,0),BA$31,4,TRUE,"【全期間】成果表実測値"))),"")</f>
        <v>-0.29999999999930083</v>
      </c>
      <c r="BB49" s="642">
        <f ca="1">IFERROR(IF(INDIRECT(ADDRESS(MATCH($A49,【全期間】成果表実測値!$B:$B,0),BB$31,4,TRUE,"【全期間】成果表実測値"))="","",-INDIRECT(ADDRESS(MATCH($A49,【全期間】成果表実測値!$B:$B,0),BB$31,4,TRUE,"【全期間】成果表実測値"))),"")</f>
        <v>-9.9999999999766942E-2</v>
      </c>
    </row>
    <row r="50" spans="1:54">
      <c r="A50" s="304" t="str">
        <f t="shared" si="5"/>
        <v>台地･丘陵部</v>
      </c>
      <c r="B50" s="262"/>
      <c r="C50" s="297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571"/>
      <c r="BA50" s="647"/>
      <c r="BB50" s="285"/>
    </row>
    <row r="51" spans="1:54">
      <c r="A51" s="305" t="str">
        <f t="shared" ref="A51:C55" si="9">A23</f>
        <v>74-23</v>
      </c>
      <c r="B51" s="263" t="str">
        <f t="shared" si="9"/>
        <v>16.白)本通1丁目</v>
      </c>
      <c r="C51" s="298" t="str">
        <f t="shared" ca="1" si="9"/>
        <v>白石小学校</v>
      </c>
      <c r="D51" s="397"/>
      <c r="E51" s="398"/>
      <c r="F51" s="320">
        <v>0</v>
      </c>
      <c r="G51" s="282">
        <f ca="1">IFERROR(IF(INDIRECT(ADDRESS(MATCH($A51,【全期間】成果表実測値!$B:$B,0),G$31,4,TRUE,"【全期間】成果表実測値"))="","",-INDIRECT(ADDRESS(MATCH($A51,【全期間】成果表実測値!$B:$B,0),G$31,4,TRUE,"【全期間】成果表実測値"))),"")</f>
        <v>5</v>
      </c>
      <c r="H51" s="282">
        <f ca="1">IFERROR(IF(INDIRECT(ADDRESS(MATCH($A51,【全期間】成果表実測値!$B:$B,0),H$31,4,TRUE,"【全期間】成果表実測値"))="","",-INDIRECT(ADDRESS(MATCH($A51,【全期間】成果表実測値!$B:$B,0),H$31,4,TRUE,"【全期間】成果表実測値"))),"")</f>
        <v>5.2</v>
      </c>
      <c r="I51" s="282">
        <f ca="1">IFERROR(IF(INDIRECT(ADDRESS(MATCH($A51,【全期間】成果表実測値!$B:$B,0),I$31,4,TRUE,"【全期間】成果表実測値"))="","",-INDIRECT(ADDRESS(MATCH($A51,【全期間】成果表実測値!$B:$B,0),I$31,4,TRUE,"【全期間】成果表実測値"))),"")</f>
        <v>-14.7</v>
      </c>
      <c r="J51" s="283">
        <f ca="1">IFERROR(IF(INDIRECT(ADDRESS(MATCH($A51,【全期間】成果表実測値!$B:$B,0),J$31,4,TRUE,"【全期間】成果表実測値"))="","",-INDIRECT(ADDRESS(MATCH($A51,【全期間】成果表実測値!$B:$B,0),J$31,4,TRUE,"【全期間】成果表実測値"))),"")</f>
        <v>-3.4</v>
      </c>
      <c r="K51" s="281">
        <f ca="1">IFERROR(IF(INDIRECT(ADDRESS(MATCH($A51,【全期間】成果表実測値!$B:$B,0),K$31,4,TRUE,"【全期間】成果表実測値"))="","",-INDIRECT(ADDRESS(MATCH($A51,【全期間】成果表実測値!$B:$B,0),K$31,4,TRUE,"【全期間】成果表実測値"))),"")</f>
        <v>-3</v>
      </c>
      <c r="L51" s="282">
        <f ca="1">IFERROR(IF(INDIRECT(ADDRESS(MATCH($A51,【全期間】成果表実測値!$B:$B,0),L$31,4,TRUE,"【全期間】成果表実測値"))="","",-INDIRECT(ADDRESS(MATCH($A51,【全期間】成果表実測値!$B:$B,0),L$31,4,TRUE,"【全期間】成果表実測値"))),"")</f>
        <v>2.8</v>
      </c>
      <c r="M51" s="282">
        <f ca="1">IFERROR(IF(INDIRECT(ADDRESS(MATCH($A51,【全期間】成果表実測値!$B:$B,0),M$31,4,TRUE,"【全期間】成果表実測値"))="","",-INDIRECT(ADDRESS(MATCH($A51,【全期間】成果表実測値!$B:$B,0),M$31,4,TRUE,"【全期間】成果表実測値"))),"")</f>
        <v>-0.8</v>
      </c>
      <c r="N51" s="282">
        <f ca="1">IFERROR(IF(INDIRECT(ADDRESS(MATCH($A51,【全期間】成果表実測値!$B:$B,0),N$31,4,TRUE,"【全期間】成果表実測値"))="","",-INDIRECT(ADDRESS(MATCH($A51,【全期間】成果表実測値!$B:$B,0),N$31,4,TRUE,"【全期間】成果表実測値"))),"")</f>
        <v>-2.2000000000000002</v>
      </c>
      <c r="O51" s="283">
        <f ca="1">IFERROR(IF(INDIRECT(ADDRESS(MATCH($A51,【全期間】成果表実測値!$B:$B,0),O$31,4,TRUE,"【全期間】成果表実測値"))="","",-INDIRECT(ADDRESS(MATCH($A51,【全期間】成果表実測値!$B:$B,0),O$31,4,TRUE,"【全期間】成果表実測値"))),"")</f>
        <v>3.5</v>
      </c>
      <c r="P51" s="281" t="str">
        <f ca="1">IFERROR(IF(INDIRECT(ADDRESS(MATCH($A51,【全期間】成果表実測値!$B:$B,0),P$31,4,TRUE,"【全期間】成果表実測値"))="","",-INDIRECT(ADDRESS(MATCH($A51,【全期間】成果表実測値!$B:$B,0),P$31,4,TRUE,"【全期間】成果表実測値"))),"")</f>
        <v/>
      </c>
      <c r="Q51" s="282" t="str">
        <f ca="1">IFERROR(IF(INDIRECT(ADDRESS(MATCH($A51,【全期間】成果表実測値!$B:$B,0),Q$31,4,TRUE,"【全期間】成果表実測値"))="","",-INDIRECT(ADDRESS(MATCH($A51,【全期間】成果表実測値!$B:$B,0),Q$31,4,TRUE,"【全期間】成果表実測値"))),"")</f>
        <v/>
      </c>
      <c r="R51" s="282" t="str">
        <f ca="1">IFERROR(IF(INDIRECT(ADDRESS(MATCH($A51,【全期間】成果表実測値!$B:$B,0),R$31,4,TRUE,"【全期間】成果表実測値"))="","",-INDIRECT(ADDRESS(MATCH($A51,【全期間】成果表実測値!$B:$B,0),R$31,4,TRUE,"【全期間】成果表実測値"))),"")</f>
        <v/>
      </c>
      <c r="S51" s="283" t="str">
        <f ca="1">IFERROR(IF(INDIRECT(ADDRESS(MATCH($A51,【全期間】成果表実測値!$B:$B,0),S$31,4,TRUE,"【全期間】成果表実測値"))="","",-INDIRECT(ADDRESS(MATCH($A51,【全期間】成果表実測値!$B:$B,0),S$31,4,TRUE,"【全期間】成果表実測値"))),"")</f>
        <v/>
      </c>
      <c r="T51" s="281" t="str">
        <f ca="1">IFERROR(IF(INDIRECT(ADDRESS(MATCH($A51,【全期間】成果表実測値!$B:$B,0),T$31,4,TRUE,"【全期間】成果表実測値"))="","",-INDIRECT(ADDRESS(MATCH($A51,【全期間】成果表実測値!$B:$B,0),T$31,4,TRUE,"【全期間】成果表実測値"))),"")</f>
        <v/>
      </c>
      <c r="U51" s="282">
        <f ca="1">IFERROR(IF(INDIRECT(ADDRESS(MATCH($A51,【全期間】成果表実測値!$B:$B,0),U$31,4,TRUE,"【全期間】成果表実測値"))="","",-INDIRECT(ADDRESS(MATCH($A51,【全期間】成果表実測値!$B:$B,0),U$31,4,TRUE,"【全期間】成果表実測値"))),"")</f>
        <v>-17.8</v>
      </c>
      <c r="V51" s="282" t="str">
        <f ca="1">IFERROR(IF(INDIRECT(ADDRESS(MATCH($A51,【全期間】成果表実測値!$B:$B,0),V$31,4,TRUE,"【全期間】成果表実測値"))="","",-INDIRECT(ADDRESS(MATCH($A51,【全期間】成果表実測値!$B:$B,0),V$31,4,TRUE,"【全期間】成果表実測値"))),"")</f>
        <v/>
      </c>
      <c r="W51" s="283" t="str">
        <f ca="1">IFERROR(IF(INDIRECT(ADDRESS(MATCH($A51,【全期間】成果表実測値!$B:$B,0),W$31,4,TRUE,"【全期間】成果表実測値"))="","",-INDIRECT(ADDRESS(MATCH($A51,【全期間】成果表実測値!$B:$B,0),W$31,4,TRUE,"【全期間】成果表実測値"))),"")</f>
        <v/>
      </c>
      <c r="X51" s="281">
        <f ca="1">IFERROR(IF(INDIRECT(ADDRESS(MATCH($A51,【全期間】成果表実測値!$B:$B,0),X$31,4,TRUE,"【全期間】成果表実測値"))="","",-INDIRECT(ADDRESS(MATCH($A51,【全期間】成果表実測値!$B:$B,0),X$31,4,TRUE,"【全期間】成果表実測値"))),"")</f>
        <v>-1.1000000000000001</v>
      </c>
      <c r="Y51" s="282" t="str">
        <f ca="1">IFERROR(IF(INDIRECT(ADDRESS(MATCH($A51,【全期間】成果表実測値!$B:$B,0),Y$31,4,TRUE,"【全期間】成果表実測値"))="","",-INDIRECT(ADDRESS(MATCH($A51,【全期間】成果表実測値!$B:$B,0),Y$31,4,TRUE,"【全期間】成果表実測値"))),"")</f>
        <v/>
      </c>
      <c r="Z51" s="282" t="str">
        <f ca="1">IFERROR(IF(INDIRECT(ADDRESS(MATCH($A51,【全期間】成果表実測値!$B:$B,0),Z$31,4,TRUE,"【全期間】成果表実測値"))="","",-INDIRECT(ADDRESS(MATCH($A51,【全期間】成果表実測値!$B:$B,0),Z$31,4,TRUE,"【全期間】成果表実測値"))),"")</f>
        <v/>
      </c>
      <c r="AA51" s="282">
        <f ca="1">IFERROR(IF(INDIRECT(ADDRESS(MATCH($A51,【全期間】成果表実測値!$B:$B,0),AA$31,4,TRUE,"【全期間】成果表実測値"))="","",-INDIRECT(ADDRESS(MATCH($A51,【全期間】成果表実測値!$B:$B,0),AA$31,4,TRUE,"【全期間】成果表実測値"))),"")</f>
        <v>-1.8</v>
      </c>
      <c r="AB51" s="283" t="str">
        <f ca="1">IFERROR(IF(INDIRECT(ADDRESS(MATCH($A51,【全期間】成果表実測値!$B:$B,0),AB$31,4,TRUE,"【全期間】成果表実測値"))="","",-INDIRECT(ADDRESS(MATCH($A51,【全期間】成果表実測値!$B:$B,0),AB$31,4,TRUE,"【全期間】成果表実測値"))),"")</f>
        <v/>
      </c>
      <c r="AC51" s="281" t="str">
        <f ca="1">IFERROR(IF(INDIRECT(ADDRESS(MATCH($A51,【全期間】成果表実測値!$B:$B,0),AC$31,4,TRUE,"【全期間】成果表実測値"))="","",-INDIRECT(ADDRESS(MATCH($A51,【全期間】成果表実測値!$B:$B,0),AC$31,4,TRUE,"【全期間】成果表実測値"))),"")</f>
        <v/>
      </c>
      <c r="AD51" s="282" t="str">
        <f ca="1">IFERROR(IF(INDIRECT(ADDRESS(MATCH($A51,【全期間】成果表実測値!$B:$B,0),AD$31,4,TRUE,"【全期間】成果表実測値"))="","",-INDIRECT(ADDRESS(MATCH($A51,【全期間】成果表実測値!$B:$B,0),AD$31,4,TRUE,"【全期間】成果表実測値"))),"")</f>
        <v/>
      </c>
      <c r="AE51" s="282" t="str">
        <f ca="1">IFERROR(IF(INDIRECT(ADDRESS(MATCH($A51,【全期間】成果表実測値!$B:$B,0),AE$31,4,TRUE,"【全期間】成果表実測値"))="","",-INDIRECT(ADDRESS(MATCH($A51,【全期間】成果表実測値!$B:$B,0),AE$31,4,TRUE,"【全期間】成果表実測値"))),"")</f>
        <v/>
      </c>
      <c r="AF51" s="282" t="str">
        <f ca="1">IFERROR(IF(INDIRECT(ADDRESS(MATCH($A51,【全期間】成果表実測値!$B:$B,0),AF$31,4,TRUE,"【全期間】成果表実測値"))="","",-INDIRECT(ADDRESS(MATCH($A51,【全期間】成果表実測値!$B:$B,0),AF$31,4,TRUE,"【全期間】成果表実測値"))),"")</f>
        <v/>
      </c>
      <c r="AG51" s="283">
        <f ca="1">IFERROR(IF(INDIRECT(ADDRESS(MATCH($A51,【全期間】成果表実測値!$B:$B,0),AG$31,4,TRUE,"【全期間】成果表実測値"))="","",-INDIRECT(ADDRESS(MATCH($A51,【全期間】成果表実測値!$B:$B,0),AG$31,4,TRUE,"【全期間】成果表実測値"))),"")</f>
        <v>-7.5</v>
      </c>
      <c r="AH51" s="281" t="str">
        <f ca="1">IFERROR(IF(INDIRECT(ADDRESS(MATCH($A51,【全期間】成果表実測値!$B:$B,0),AH$31,4,TRUE,"【全期間】成果表実測値"))="","",-INDIRECT(ADDRESS(MATCH($A51,【全期間】成果表実測値!$B:$B,0),AH$31,4,TRUE,"【全期間】成果表実測値"))),"")</f>
        <v/>
      </c>
      <c r="AI51" s="282">
        <f ca="1">IFERROR(IF(INDIRECT(ADDRESS(MATCH($A51,【全期間】成果表実測値!$B:$B,0),AI$31,4,TRUE,"【全期間】成果表実測値"))="","",-INDIRECT(ADDRESS(MATCH($A51,【全期間】成果表実測値!$B:$B,0),AI$31,4,TRUE,"【全期間】成果表実測値"))),"")</f>
        <v>-14.4</v>
      </c>
      <c r="AJ51" s="282" t="str">
        <f ca="1">IFERROR(IF(INDIRECT(ADDRESS(MATCH($A51,【全期間】成果表実測値!$B:$B,0),AJ$31,4,TRUE,"【全期間】成果表実測値"))="","",-INDIRECT(ADDRESS(MATCH($A51,【全期間】成果表実測値!$B:$B,0),AJ$31,4,TRUE,"【全期間】成果表実測値"))),"")</f>
        <v/>
      </c>
      <c r="AK51" s="282" t="str">
        <f ca="1">IFERROR(IF(INDIRECT(ADDRESS(MATCH($A51,【全期間】成果表実測値!$B:$B,0),AK$31,4,TRUE,"【全期間】成果表実測値"))="","",-INDIRECT(ADDRESS(MATCH($A51,【全期間】成果表実測値!$B:$B,0),AK$31,4,TRUE,"【全期間】成果表実測値"))),"")</f>
        <v/>
      </c>
      <c r="AL51" s="283" t="str">
        <f ca="1">IFERROR(IF(INDIRECT(ADDRESS(MATCH($A51,【全期間】成果表実測値!$B:$B,0),AL$31,4,TRUE,"【全期間】成果表実測値"))="","",-INDIRECT(ADDRESS(MATCH($A51,【全期間】成果表実測値!$B:$B,0),AL$31,4,TRUE,"【全期間】成果表実測値"))),"")</f>
        <v/>
      </c>
      <c r="AM51" s="281">
        <f ca="1">IFERROR(IF(INDIRECT(ADDRESS(MATCH($A51,【全期間】成果表実測値!$B:$B,0),AM$31,4,TRUE,"【全期間】成果表実測値"))="","",-INDIRECT(ADDRESS(MATCH($A51,【全期間】成果表実測値!$B:$B,0),AM$31,4,TRUE,"【全期間】成果表実測値"))),"")</f>
        <v>3.1</v>
      </c>
      <c r="AN51" s="282">
        <f ca="1">IFERROR(IF(INDIRECT(ADDRESS(MATCH($A51,【全期間】成果表実測値!$B:$B,0),AN$31,4,TRUE,"【全期間】成果表実測値"))="","",-INDIRECT(ADDRESS(MATCH($A51,【全期間】成果表実測値!$B:$B,0),AN$31,4,TRUE,"【全期間】成果表実測値"))),"")</f>
        <v>0.1</v>
      </c>
      <c r="AO51" s="282">
        <f ca="1">IFERROR(IF(INDIRECT(ADDRESS(MATCH($A51,【全期間】成果表実測値!$B:$B,0),AO$31,4,TRUE,"【全期間】成果表実測値"))="","",-INDIRECT(ADDRESS(MATCH($A51,【全期間】成果表実測値!$B:$B,0),AO$31,4,TRUE,"【全期間】成果表実測値"))),"")</f>
        <v>-2.2000000000000002</v>
      </c>
      <c r="AP51" s="282" t="str">
        <f ca="1">IFERROR(IF(INDIRECT(ADDRESS(MATCH($A51,【全期間】成果表実測値!$B:$B,0),AP$31,4,TRUE,"【全期間】成果表実測値"))="","",-INDIRECT(ADDRESS(MATCH($A51,【全期間】成果表実測値!$B:$B,0),AP$31,4,TRUE,"【全期間】成果表実測値"))),"")</f>
        <v/>
      </c>
      <c r="AQ51" s="283" t="str">
        <f ca="1">IFERROR(IF(INDIRECT(ADDRESS(MATCH($A51,【全期間】成果表実測値!$B:$B,0),AQ$31,4,TRUE,"【全期間】成果表実測値"))="","",-INDIRECT(ADDRESS(MATCH($A51,【全期間】成果表実測値!$B:$B,0),AQ$31,4,TRUE,"【全期間】成果表実測値"))),"")</f>
        <v/>
      </c>
      <c r="AR51" s="281">
        <f ca="1">IFERROR(IF(INDIRECT(ADDRESS(MATCH($A51,【全期間】成果表実測値!$B:$B,0),AR$31,4,TRUE,"【全期間】成果表実測値"))="","",-INDIRECT(ADDRESS(MATCH($A51,【全期間】成果表実測値!$B:$B,0),AR$31,4,TRUE,"【全期間】成果表実測値"))),"")</f>
        <v>-1.3</v>
      </c>
      <c r="AS51" s="282" t="str">
        <f ca="1">IFERROR(IF(INDIRECT(ADDRESS(MATCH($A51,【全期間】成果表実測値!$B:$B,0),AS$31,4,TRUE,"【全期間】成果表実測値"))="","",-INDIRECT(ADDRESS(MATCH($A51,【全期間】成果表実測値!$B:$B,0),AS$31,4,TRUE,"【全期間】成果表実測値"))),"")</f>
        <v/>
      </c>
      <c r="AT51" s="282">
        <f ca="1">IFERROR(IF(INDIRECT(ADDRESS(MATCH($A51,【全期間】成果表実測値!$B:$B,0),AT$31,4,TRUE,"【全期間】成果表実測値"))="","",-INDIRECT(ADDRESS(MATCH($A51,【全期間】成果表実測値!$B:$B,0),AT$31,4,TRUE,"【全期間】成果表実測値"))),"")</f>
        <v>2.1</v>
      </c>
      <c r="AU51" s="282" t="str">
        <f ca="1">IFERROR(IF(INDIRECT(ADDRESS(MATCH($A51,【全期間】成果表実測値!$B:$B,0),AU$31,4,TRUE,"【全期間】成果表実測値"))="","",-INDIRECT(ADDRESS(MATCH($A51,【全期間】成果表実測値!$B:$B,0),AU$31,4,TRUE,"【全期間】成果表実測値"))),"")</f>
        <v/>
      </c>
      <c r="AV51" s="544" t="str">
        <f ca="1">IFERROR(IF(INDIRECT(ADDRESS(MATCH($A51,【全期間】成果表実測値!$B:$B,0),AV$31,4,TRUE,"【全期間】成果表実測値"))="","",-INDIRECT(ADDRESS(MATCH($A51,【全期間】成果表実測値!$B:$B,0),AV$31,4,TRUE,"【全期間】成果表実測値"))),"")</f>
        <v/>
      </c>
      <c r="AW51" s="552">
        <f ca="1">IFERROR(IF(INDIRECT(ADDRESS(MATCH($A51,【全期間】成果表実測値!$B:$B,0),AW$31,4,TRUE,"【全期間】成果表実測値"))="","",-INDIRECT(ADDRESS(MATCH($A51,【全期間】成果表実測値!$B:$B,0),AW$31,4,TRUE,"【全期間】成果表実測値"))),"")</f>
        <v>0.70000000000192131</v>
      </c>
      <c r="AX51" s="282" t="str">
        <f ca="1">IFERROR(IF(INDIRECT(ADDRESS(MATCH($A51,【全期間】成果表実測値!$B:$B,0),AX$31,4,TRUE,"【全期間】成果表実測値"))="","",-INDIRECT(ADDRESS(MATCH($A51,【全期間】成果表実測値!$B:$B,0),AX$31,4,TRUE,"【全期間】成果表実測値"))),"")</f>
        <v/>
      </c>
      <c r="AY51" s="475">
        <f ca="1">IFERROR(IF(INDIRECT(ADDRESS(MATCH($A51,【全期間】成果表実測値!$B:$B,0),AY$31,4,TRUE,"【全期間】成果表実測値"))="","",-INDIRECT(ADDRESS(MATCH($A51,【全期間】成果表実測値!$B:$B,0),AY$31,4,TRUE,"【全期間】成果表実測値"))),"")</f>
        <v>-2.6000000000010459</v>
      </c>
      <c r="AZ51" s="282" t="str">
        <f ca="1">IFERROR(IF(INDIRECT(ADDRESS(MATCH($A51,【全期間】成果表実測値!$B:$B,0),AZ$31,4,TRUE,"【全期間】成果表実測値"))="","",-INDIRECT(ADDRESS(MATCH($A51,【全期間】成果表実測値!$B:$B,0),AZ$31,4,TRUE,"【全期間】成果表実測値"))),"")</f>
        <v/>
      </c>
      <c r="BA51" s="283" t="str">
        <f ca="1">IFERROR(IF(INDIRECT(ADDRESS(MATCH($A51,【全期間】成果表実測値!$B:$B,0),BA$31,4,TRUE,"【全期間】成果表実測値"))="","",-INDIRECT(ADDRESS(MATCH($A51,【全期間】成果表実測値!$B:$B,0),BA$31,4,TRUE,"【全期間】成果表実測値"))),"")</f>
        <v/>
      </c>
      <c r="BB51" s="642" t="str">
        <f ca="1">IFERROR(IF(INDIRECT(ADDRESS(MATCH($A51,【全期間】成果表実測値!$B:$B,0),BB$31,4,TRUE,"【全期間】成果表実測値"))="","",-INDIRECT(ADDRESS(MATCH($A51,【全期間】成果表実測値!$B:$B,0),BB$31,4,TRUE,"【全期間】成果表実測値"))),"")</f>
        <v/>
      </c>
    </row>
    <row r="52" spans="1:54">
      <c r="A52" s="305" t="str">
        <f t="shared" si="9"/>
        <v>74-26</v>
      </c>
      <c r="B52" s="263" t="str">
        <f t="shared" si="9"/>
        <v>17.白)本通14丁目</v>
      </c>
      <c r="C52" s="298" t="str">
        <f t="shared" ca="1" si="9"/>
        <v>東白石小学校</v>
      </c>
      <c r="D52" s="397"/>
      <c r="E52" s="398"/>
      <c r="F52" s="399"/>
      <c r="G52" s="320">
        <v>0</v>
      </c>
      <c r="H52" s="282">
        <f ca="1">IFERROR(IF(INDIRECT(ADDRESS(MATCH($A52,【全期間】成果表実測値!$B:$B,0),H$31,4,TRUE,"【全期間】成果表実測値"))="","",-INDIRECT(ADDRESS(MATCH($A52,【全期間】成果表実測値!$B:$B,0),H$31,4,TRUE,"【全期間】成果表実測値"))),"")</f>
        <v>8.6999999999999993</v>
      </c>
      <c r="I52" s="282">
        <f ca="1">IFERROR(IF(INDIRECT(ADDRESS(MATCH($A52,【全期間】成果表実測値!$B:$B,0),I$31,4,TRUE,"【全期間】成果表実測値"))="","",-INDIRECT(ADDRESS(MATCH($A52,【全期間】成果表実測値!$B:$B,0),I$31,4,TRUE,"【全期間】成果表実測値"))),"")</f>
        <v>-14.3</v>
      </c>
      <c r="J52" s="283">
        <f ca="1">IFERROR(IF(INDIRECT(ADDRESS(MATCH($A52,【全期間】成果表実測値!$B:$B,0),J$31,4,TRUE,"【全期間】成果表実測値"))="","",-INDIRECT(ADDRESS(MATCH($A52,【全期間】成果表実測値!$B:$B,0),J$31,4,TRUE,"【全期間】成果表実測値"))),"")</f>
        <v>-4.4000000000000004</v>
      </c>
      <c r="K52" s="281">
        <f ca="1">IFERROR(IF(INDIRECT(ADDRESS(MATCH($A52,【全期間】成果表実測値!$B:$B,0),K$31,4,TRUE,"【全期間】成果表実測値"))="","",-INDIRECT(ADDRESS(MATCH($A52,【全期間】成果表実測値!$B:$B,0),K$31,4,TRUE,"【全期間】成果表実測値"))),"")</f>
        <v>-7.1</v>
      </c>
      <c r="L52" s="282" t="str">
        <f ca="1">IFERROR(IF(INDIRECT(ADDRESS(MATCH($A52,【全期間】成果表実測値!$B:$B,0),L$31,4,TRUE,"【全期間】成果表実測値"))="","",-INDIRECT(ADDRESS(MATCH($A52,【全期間】成果表実測値!$B:$B,0),L$31,4,TRUE,"【全期間】成果表実測値"))),"")</f>
        <v/>
      </c>
      <c r="M52" s="282">
        <f ca="1">IFERROR(IF(INDIRECT(ADDRESS(MATCH($A52,【全期間】成果表実測値!$B:$B,0),M$31,4,TRUE,"【全期間】成果表実測値"))="","",-INDIRECT(ADDRESS(MATCH($A52,【全期間】成果表実測値!$B:$B,0),M$31,4,TRUE,"【全期間】成果表実測値"))),"")</f>
        <v>2.2999999999999998</v>
      </c>
      <c r="N52" s="282" t="str">
        <f ca="1">IFERROR(IF(INDIRECT(ADDRESS(MATCH($A52,【全期間】成果表実測値!$B:$B,0),N$31,4,TRUE,"【全期間】成果表実測値"))="","",-INDIRECT(ADDRESS(MATCH($A52,【全期間】成果表実測値!$B:$B,0),N$31,4,TRUE,"【全期間】成果表実測値"))),"")</f>
        <v/>
      </c>
      <c r="O52" s="283">
        <f ca="1">IFERROR(IF(INDIRECT(ADDRESS(MATCH($A52,【全期間】成果表実測値!$B:$B,0),O$31,4,TRUE,"【全期間】成果表実測値"))="","",-INDIRECT(ADDRESS(MATCH($A52,【全期間】成果表実測値!$B:$B,0),O$31,4,TRUE,"【全期間】成果表実測値"))),"")</f>
        <v>2.5</v>
      </c>
      <c r="P52" s="281" t="str">
        <f ca="1">IFERROR(IF(INDIRECT(ADDRESS(MATCH($A52,【全期間】成果表実測値!$B:$B,0),P$31,4,TRUE,"【全期間】成果表実測値"))="","",-INDIRECT(ADDRESS(MATCH($A52,【全期間】成果表実測値!$B:$B,0),P$31,4,TRUE,"【全期間】成果表実測値"))),"")</f>
        <v/>
      </c>
      <c r="Q52" s="282" t="str">
        <f ca="1">IFERROR(IF(INDIRECT(ADDRESS(MATCH($A52,【全期間】成果表実測値!$B:$B,0),Q$31,4,TRUE,"【全期間】成果表実測値"))="","",-INDIRECT(ADDRESS(MATCH($A52,【全期間】成果表実測値!$B:$B,0),Q$31,4,TRUE,"【全期間】成果表実測値"))),"")</f>
        <v/>
      </c>
      <c r="R52" s="282" t="str">
        <f ca="1">IFERROR(IF(INDIRECT(ADDRESS(MATCH($A52,【全期間】成果表実測値!$B:$B,0),R$31,4,TRUE,"【全期間】成果表実測値"))="","",-INDIRECT(ADDRESS(MATCH($A52,【全期間】成果表実測値!$B:$B,0),R$31,4,TRUE,"【全期間】成果表実測値"))),"")</f>
        <v/>
      </c>
      <c r="S52" s="283" t="str">
        <f ca="1">IFERROR(IF(INDIRECT(ADDRESS(MATCH($A52,【全期間】成果表実測値!$B:$B,0),S$31,4,TRUE,"【全期間】成果表実測値"))="","",-INDIRECT(ADDRESS(MATCH($A52,【全期間】成果表実測値!$B:$B,0),S$31,4,TRUE,"【全期間】成果表実測値"))),"")</f>
        <v/>
      </c>
      <c r="T52" s="281" t="str">
        <f ca="1">IFERROR(IF(INDIRECT(ADDRESS(MATCH($A52,【全期間】成果表実測値!$B:$B,0),T$31,4,TRUE,"【全期間】成果表実測値"))="","",-INDIRECT(ADDRESS(MATCH($A52,【全期間】成果表実測値!$B:$B,0),T$31,4,TRUE,"【全期間】成果表実測値"))),"")</f>
        <v/>
      </c>
      <c r="U52" s="282">
        <f ca="1">IFERROR(IF(INDIRECT(ADDRESS(MATCH($A52,【全期間】成果表実測値!$B:$B,0),U$31,4,TRUE,"【全期間】成果表実測値"))="","",-INDIRECT(ADDRESS(MATCH($A52,【全期間】成果表実測値!$B:$B,0),U$31,4,TRUE,"【全期間】成果表実測値"))),"")</f>
        <v>-21</v>
      </c>
      <c r="V52" s="282" t="str">
        <f ca="1">IFERROR(IF(INDIRECT(ADDRESS(MATCH($A52,【全期間】成果表実測値!$B:$B,0),V$31,4,TRUE,"【全期間】成果表実測値"))="","",-INDIRECT(ADDRESS(MATCH($A52,【全期間】成果表実測値!$B:$B,0),V$31,4,TRUE,"【全期間】成果表実測値"))),"")</f>
        <v/>
      </c>
      <c r="W52" s="283" t="str">
        <f ca="1">IFERROR(IF(INDIRECT(ADDRESS(MATCH($A52,【全期間】成果表実測値!$B:$B,0),W$31,4,TRUE,"【全期間】成果表実測値"))="","",-INDIRECT(ADDRESS(MATCH($A52,【全期間】成果表実測値!$B:$B,0),W$31,4,TRUE,"【全期間】成果表実測値"))),"")</f>
        <v/>
      </c>
      <c r="X52" s="281">
        <f ca="1">IFERROR(IF(INDIRECT(ADDRESS(MATCH($A52,【全期間】成果表実測値!$B:$B,0),X$31,4,TRUE,"【全期間】成果表実測値"))="","",-INDIRECT(ADDRESS(MATCH($A52,【全期間】成果表実測値!$B:$B,0),X$31,4,TRUE,"【全期間】成果表実測値"))),"")</f>
        <v>-0.6</v>
      </c>
      <c r="Y52" s="282" t="str">
        <f ca="1">IFERROR(IF(INDIRECT(ADDRESS(MATCH($A52,【全期間】成果表実測値!$B:$B,0),Y$31,4,TRUE,"【全期間】成果表実測値"))="","",-INDIRECT(ADDRESS(MATCH($A52,【全期間】成果表実測値!$B:$B,0),Y$31,4,TRUE,"【全期間】成果表実測値"))),"")</f>
        <v/>
      </c>
      <c r="Z52" s="282" t="str">
        <f ca="1">IFERROR(IF(INDIRECT(ADDRESS(MATCH($A52,【全期間】成果表実測値!$B:$B,0),Z$31,4,TRUE,"【全期間】成果表実測値"))="","",-INDIRECT(ADDRESS(MATCH($A52,【全期間】成果表実測値!$B:$B,0),Z$31,4,TRUE,"【全期間】成果表実測値"))),"")</f>
        <v/>
      </c>
      <c r="AA52" s="282">
        <f ca="1">IFERROR(IF(INDIRECT(ADDRESS(MATCH($A52,【全期間】成果表実測値!$B:$B,0),AA$31,4,TRUE,"【全期間】成果表実測値"))="","",-INDIRECT(ADDRESS(MATCH($A52,【全期間】成果表実測値!$B:$B,0),AA$31,4,TRUE,"【全期間】成果表実測値"))),"")</f>
        <v>-2</v>
      </c>
      <c r="AB52" s="283" t="str">
        <f ca="1">IFERROR(IF(INDIRECT(ADDRESS(MATCH($A52,【全期間】成果表実測値!$B:$B,0),AB$31,4,TRUE,"【全期間】成果表実測値"))="","",-INDIRECT(ADDRESS(MATCH($A52,【全期間】成果表実測値!$B:$B,0),AB$31,4,TRUE,"【全期間】成果表実測値"))),"")</f>
        <v/>
      </c>
      <c r="AC52" s="281" t="str">
        <f ca="1">IFERROR(IF(INDIRECT(ADDRESS(MATCH($A52,【全期間】成果表実測値!$B:$B,0),AC$31,4,TRUE,"【全期間】成果表実測値"))="","",-INDIRECT(ADDRESS(MATCH($A52,【全期間】成果表実測値!$B:$B,0),AC$31,4,TRUE,"【全期間】成果表実測値"))),"")</f>
        <v/>
      </c>
      <c r="AD52" s="282" t="str">
        <f ca="1">IFERROR(IF(INDIRECT(ADDRESS(MATCH($A52,【全期間】成果表実測値!$B:$B,0),AD$31,4,TRUE,"【全期間】成果表実測値"))="","",-INDIRECT(ADDRESS(MATCH($A52,【全期間】成果表実測値!$B:$B,0),AD$31,4,TRUE,"【全期間】成果表実測値"))),"")</f>
        <v/>
      </c>
      <c r="AE52" s="282" t="str">
        <f ca="1">IFERROR(IF(INDIRECT(ADDRESS(MATCH($A52,【全期間】成果表実測値!$B:$B,0),AE$31,4,TRUE,"【全期間】成果表実測値"))="","",-INDIRECT(ADDRESS(MATCH($A52,【全期間】成果表実測値!$B:$B,0),AE$31,4,TRUE,"【全期間】成果表実測値"))),"")</f>
        <v/>
      </c>
      <c r="AF52" s="282" t="str">
        <f ca="1">IFERROR(IF(INDIRECT(ADDRESS(MATCH($A52,【全期間】成果表実測値!$B:$B,0),AF$31,4,TRUE,"【全期間】成果表実測値"))="","",-INDIRECT(ADDRESS(MATCH($A52,【全期間】成果表実測値!$B:$B,0),AF$31,4,TRUE,"【全期間】成果表実測値"))),"")</f>
        <v/>
      </c>
      <c r="AG52" s="283" t="str">
        <f ca="1">IFERROR(IF(INDIRECT(ADDRESS(MATCH($A52,【全期間】成果表実測値!$B:$B,0),AG$31,4,TRUE,"【全期間】成果表実測値"))="","",-INDIRECT(ADDRESS(MATCH($A52,【全期間】成果表実測値!$B:$B,0),AG$31,4,TRUE,"【全期間】成果表実測値"))),"")</f>
        <v/>
      </c>
      <c r="AH52" s="281" t="str">
        <f ca="1">IFERROR(IF(INDIRECT(ADDRESS(MATCH($A52,【全期間】成果表実測値!$B:$B,0),AH$31,4,TRUE,"【全期間】成果表実測値"))="","",-INDIRECT(ADDRESS(MATCH($A52,【全期間】成果表実測値!$B:$B,0),AH$31,4,TRUE,"【全期間】成果表実測値"))),"")</f>
        <v/>
      </c>
      <c r="AI52" s="282">
        <f ca="1">IFERROR(IF(INDIRECT(ADDRESS(MATCH($A52,【全期間】成果表実測値!$B:$B,0),AI$31,4,TRUE,"【全期間】成果表実測値"))="","",-INDIRECT(ADDRESS(MATCH($A52,【全期間】成果表実測値!$B:$B,0),AI$31,4,TRUE,"【全期間】成果表実測値"))),"")</f>
        <v>-24.2</v>
      </c>
      <c r="AJ52" s="282" t="str">
        <f ca="1">IFERROR(IF(INDIRECT(ADDRESS(MATCH($A52,【全期間】成果表実測値!$B:$B,0),AJ$31,4,TRUE,"【全期間】成果表実測値"))="","",-INDIRECT(ADDRESS(MATCH($A52,【全期間】成果表実測値!$B:$B,0),AJ$31,4,TRUE,"【全期間】成果表実測値"))),"")</f>
        <v/>
      </c>
      <c r="AK52" s="282" t="str">
        <f ca="1">IFERROR(IF(INDIRECT(ADDRESS(MATCH($A52,【全期間】成果表実測値!$B:$B,0),AK$31,4,TRUE,"【全期間】成果表実測値"))="","",-INDIRECT(ADDRESS(MATCH($A52,【全期間】成果表実測値!$B:$B,0),AK$31,4,TRUE,"【全期間】成果表実測値"))),"")</f>
        <v/>
      </c>
      <c r="AL52" s="283" t="str">
        <f ca="1">IFERROR(IF(INDIRECT(ADDRESS(MATCH($A52,【全期間】成果表実測値!$B:$B,0),AL$31,4,TRUE,"【全期間】成果表実測値"))="","",-INDIRECT(ADDRESS(MATCH($A52,【全期間】成果表実測値!$B:$B,0),AL$31,4,TRUE,"【全期間】成果表実測値"))),"")</f>
        <v/>
      </c>
      <c r="AM52" s="281" t="str">
        <f ca="1">IFERROR(IF(INDIRECT(ADDRESS(MATCH($A52,【全期間】成果表実測値!$B:$B,0),AM$31,4,TRUE,"【全期間】成果表実測値"))="","",-INDIRECT(ADDRESS(MATCH($A52,【全期間】成果表実測値!$B:$B,0),AM$31,4,TRUE,"【全期間】成果表実測値"))),"")</f>
        <v/>
      </c>
      <c r="AN52" s="282">
        <f ca="1">IFERROR(IF(INDIRECT(ADDRESS(MATCH($A52,【全期間】成果表実測値!$B:$B,0),AN$31,4,TRUE,"【全期間】成果表実測値"))="","",-INDIRECT(ADDRESS(MATCH($A52,【全期間】成果表実測値!$B:$B,0),AN$31,4,TRUE,"【全期間】成果表実測値"))),"")</f>
        <v>3</v>
      </c>
      <c r="AO52" s="282">
        <f ca="1">IFERROR(IF(INDIRECT(ADDRESS(MATCH($A52,【全期間】成果表実測値!$B:$B,0),AO$31,4,TRUE,"【全期間】成果表実測値"))="","",-INDIRECT(ADDRESS(MATCH($A52,【全期間】成果表実測値!$B:$B,0),AO$31,4,TRUE,"【全期間】成果表実測値"))),"")</f>
        <v>-1.2</v>
      </c>
      <c r="AP52" s="282" t="str">
        <f ca="1">IFERROR(IF(INDIRECT(ADDRESS(MATCH($A52,【全期間】成果表実測値!$B:$B,0),AP$31,4,TRUE,"【全期間】成果表実測値"))="","",-INDIRECT(ADDRESS(MATCH($A52,【全期間】成果表実測値!$B:$B,0),AP$31,4,TRUE,"【全期間】成果表実測値"))),"")</f>
        <v/>
      </c>
      <c r="AQ52" s="283" t="str">
        <f ca="1">IFERROR(IF(INDIRECT(ADDRESS(MATCH($A52,【全期間】成果表実測値!$B:$B,0),AQ$31,4,TRUE,"【全期間】成果表実測値"))="","",-INDIRECT(ADDRESS(MATCH($A52,【全期間】成果表実測値!$B:$B,0),AQ$31,4,TRUE,"【全期間】成果表実測値"))),"")</f>
        <v/>
      </c>
      <c r="AR52" s="281">
        <f ca="1">IFERROR(IF(INDIRECT(ADDRESS(MATCH($A52,【全期間】成果表実測値!$B:$B,0),AR$31,4,TRUE,"【全期間】成果表実測値"))="","",-INDIRECT(ADDRESS(MATCH($A52,【全期間】成果表実測値!$B:$B,0),AR$31,4,TRUE,"【全期間】成果表実測値"))),"")</f>
        <v>-2.2000000000000002</v>
      </c>
      <c r="AS52" s="282" t="str">
        <f ca="1">IFERROR(IF(INDIRECT(ADDRESS(MATCH($A52,【全期間】成果表実測値!$B:$B,0),AS$31,4,TRUE,"【全期間】成果表実測値"))="","",-INDIRECT(ADDRESS(MATCH($A52,【全期間】成果表実測値!$B:$B,0),AS$31,4,TRUE,"【全期間】成果表実測値"))),"")</f>
        <v/>
      </c>
      <c r="AT52" s="282">
        <f ca="1">IFERROR(IF(INDIRECT(ADDRESS(MATCH($A52,【全期間】成果表実測値!$B:$B,0),AT$31,4,TRUE,"【全期間】成果表実測値"))="","",-INDIRECT(ADDRESS(MATCH($A52,【全期間】成果表実測値!$B:$B,0),AT$31,4,TRUE,"【全期間】成果表実測値"))),"")</f>
        <v>2.2999999999999998</v>
      </c>
      <c r="AU52" s="282" t="str">
        <f ca="1">IFERROR(IF(INDIRECT(ADDRESS(MATCH($A52,【全期間】成果表実測値!$B:$B,0),AU$31,4,TRUE,"【全期間】成果表実測値"))="","",-INDIRECT(ADDRESS(MATCH($A52,【全期間】成果表実測値!$B:$B,0),AU$31,4,TRUE,"【全期間】成果表実測値"))),"")</f>
        <v/>
      </c>
      <c r="AV52" s="544" t="str">
        <f ca="1">IFERROR(IF(INDIRECT(ADDRESS(MATCH($A52,【全期間】成果表実測値!$B:$B,0),AV$31,4,TRUE,"【全期間】成果表実測値"))="","",-INDIRECT(ADDRESS(MATCH($A52,【全期間】成果表実測値!$B:$B,0),AV$31,4,TRUE,"【全期間】成果表実測値"))),"")</f>
        <v/>
      </c>
      <c r="AW52" s="552">
        <f ca="1">IFERROR(IF(INDIRECT(ADDRESS(MATCH($A52,【全期間】成果表実測値!$B:$B,0),AW$31,4,TRUE,"【全期間】成果表実測値"))="","",-INDIRECT(ADDRESS(MATCH($A52,【全期間】成果表実測値!$B:$B,0),AW$31,4,TRUE,"【全期間】成果表実測値"))),"")</f>
        <v>-0.49999999999883471</v>
      </c>
      <c r="AX52" s="282" t="str">
        <f ca="1">IFERROR(IF(INDIRECT(ADDRESS(MATCH($A52,【全期間】成果表実測値!$B:$B,0),AX$31,4,TRUE,"【全期間】成果表実測値"))="","",-INDIRECT(ADDRESS(MATCH($A52,【全期間】成果表実測値!$B:$B,0),AX$31,4,TRUE,"【全期間】成果表実測値"))),"")</f>
        <v/>
      </c>
      <c r="AY52" s="475" t="str">
        <f ca="1">IFERROR(IF(INDIRECT(ADDRESS(MATCH($A52,【全期間】成果表実測値!$B:$B,0),AY$31,4,TRUE,"【全期間】成果表実測値"))="","",-INDIRECT(ADDRESS(MATCH($A52,【全期間】成果表実測値!$B:$B,0),AY$31,4,TRUE,"【全期間】成果表実測値"))),"")</f>
        <v/>
      </c>
      <c r="AZ52" s="282" t="str">
        <f ca="1">IFERROR(IF(INDIRECT(ADDRESS(MATCH($A52,【全期間】成果表実測値!$B:$B,0),AZ$31,4,TRUE,"【全期間】成果表実測値"))="","",-INDIRECT(ADDRESS(MATCH($A52,【全期間】成果表実測値!$B:$B,0),AZ$31,4,TRUE,"【全期間】成果表実測値"))),"")</f>
        <v/>
      </c>
      <c r="BA52" s="283" t="str">
        <f ca="1">IFERROR(IF(INDIRECT(ADDRESS(MATCH($A52,【全期間】成果表実測値!$B:$B,0),BA$31,4,TRUE,"【全期間】成果表実測値"))="","",-INDIRECT(ADDRESS(MATCH($A52,【全期間】成果表実測値!$B:$B,0),BA$31,4,TRUE,"【全期間】成果表実測値"))),"")</f>
        <v/>
      </c>
      <c r="BB52" s="642" t="str">
        <f ca="1">IFERROR(IF(INDIRECT(ADDRESS(MATCH($A52,【全期間】成果表実測値!$B:$B,0),BB$31,4,TRUE,"【全期間】成果表実測値"))="","",-INDIRECT(ADDRESS(MATCH($A52,【全期間】成果表実測値!$B:$B,0),BB$31,4,TRUE,"【全期間】成果表実測値"))),"")</f>
        <v/>
      </c>
    </row>
    <row r="53" spans="1:54">
      <c r="A53" s="305" t="str">
        <f t="shared" si="9"/>
        <v>79-02</v>
      </c>
      <c r="B53" s="263" t="str">
        <f t="shared" si="9"/>
        <v>18.豊)西岡2条9丁目</v>
      </c>
      <c r="C53" s="298" t="str">
        <f t="shared" ca="1" si="9"/>
        <v>西岡小学校</v>
      </c>
      <c r="D53" s="397"/>
      <c r="E53" s="398"/>
      <c r="F53" s="399"/>
      <c r="G53" s="399"/>
      <c r="H53" s="399"/>
      <c r="I53" s="399"/>
      <c r="J53" s="320">
        <v>0</v>
      </c>
      <c r="K53" s="281">
        <f ca="1">IFERROR(IF(INDIRECT(ADDRESS(MATCH($A53,【全期間】成果表実測値!$B:$B,0),K$31,4,TRUE,"【全期間】成果表実測値"))="","",-INDIRECT(ADDRESS(MATCH($A53,【全期間】成果表実測値!$B:$B,0),K$31,4,TRUE,"【全期間】成果表実測値"))),"")</f>
        <v>-0.5</v>
      </c>
      <c r="L53" s="282" t="str">
        <f ca="1">IFERROR(IF(INDIRECT(ADDRESS(MATCH($A53,【全期間】成果表実測値!$B:$B,0),L$31,4,TRUE,"【全期間】成果表実測値"))="","",-INDIRECT(ADDRESS(MATCH($A53,【全期間】成果表実測値!$B:$B,0),L$31,4,TRUE,"【全期間】成果表実測値"))),"")</f>
        <v/>
      </c>
      <c r="M53" s="282">
        <f ca="1">IFERROR(IF(INDIRECT(ADDRESS(MATCH($A53,【全期間】成果表実測値!$B:$B,0),M$31,4,TRUE,"【全期間】成果表実測値"))="","",-INDIRECT(ADDRESS(MATCH($A53,【全期間】成果表実測値!$B:$B,0),M$31,4,TRUE,"【全期間】成果表実測値"))),"")</f>
        <v>-6.9</v>
      </c>
      <c r="N53" s="282" t="str">
        <f ca="1">IFERROR(IF(INDIRECT(ADDRESS(MATCH($A53,【全期間】成果表実測値!$B:$B,0),N$31,4,TRUE,"【全期間】成果表実測値"))="","",-INDIRECT(ADDRESS(MATCH($A53,【全期間】成果表実測値!$B:$B,0),N$31,4,TRUE,"【全期間】成果表実測値"))),"")</f>
        <v/>
      </c>
      <c r="O53" s="283" t="str">
        <f ca="1">IFERROR(IF(INDIRECT(ADDRESS(MATCH($A53,【全期間】成果表実測値!$B:$B,0),O$31,4,TRUE,"【全期間】成果表実測値"))="","",-INDIRECT(ADDRESS(MATCH($A53,【全期間】成果表実測値!$B:$B,0),O$31,4,TRUE,"【全期間】成果表実測値"))),"")</f>
        <v/>
      </c>
      <c r="P53" s="281" t="str">
        <f ca="1">IFERROR(IF(INDIRECT(ADDRESS(MATCH($A53,【全期間】成果表実測値!$B:$B,0),P$31,4,TRUE,"【全期間】成果表実測値"))="","",-INDIRECT(ADDRESS(MATCH($A53,【全期間】成果表実測値!$B:$B,0),P$31,4,TRUE,"【全期間】成果表実測値"))),"")</f>
        <v/>
      </c>
      <c r="Q53" s="282" t="str">
        <f ca="1">IFERROR(IF(INDIRECT(ADDRESS(MATCH($A53,【全期間】成果表実測値!$B:$B,0),Q$31,4,TRUE,"【全期間】成果表実測値"))="","",-INDIRECT(ADDRESS(MATCH($A53,【全期間】成果表実測値!$B:$B,0),Q$31,4,TRUE,"【全期間】成果表実測値"))),"")</f>
        <v/>
      </c>
      <c r="R53" s="282" t="str">
        <f ca="1">IFERROR(IF(INDIRECT(ADDRESS(MATCH($A53,【全期間】成果表実測値!$B:$B,0),R$31,4,TRUE,"【全期間】成果表実測値"))="","",-INDIRECT(ADDRESS(MATCH($A53,【全期間】成果表実測値!$B:$B,0),R$31,4,TRUE,"【全期間】成果表実測値"))),"")</f>
        <v/>
      </c>
      <c r="S53" s="283" t="str">
        <f ca="1">IFERROR(IF(INDIRECT(ADDRESS(MATCH($A53,【全期間】成果表実測値!$B:$B,0),S$31,4,TRUE,"【全期間】成果表実測値"))="","",-INDIRECT(ADDRESS(MATCH($A53,【全期間】成果表実測値!$B:$B,0),S$31,4,TRUE,"【全期間】成果表実測値"))),"")</f>
        <v/>
      </c>
      <c r="T53" s="281" t="str">
        <f ca="1">IFERROR(IF(INDIRECT(ADDRESS(MATCH($A53,【全期間】成果表実測値!$B:$B,0),T$31,4,TRUE,"【全期間】成果表実測値"))="","",-INDIRECT(ADDRESS(MATCH($A53,【全期間】成果表実測値!$B:$B,0),T$31,4,TRUE,"【全期間】成果表実測値"))),"")</f>
        <v/>
      </c>
      <c r="U53" s="282">
        <f ca="1">IFERROR(IF(INDIRECT(ADDRESS(MATCH($A53,【全期間】成果表実測値!$B:$B,0),U$31,4,TRUE,"【全期間】成果表実測値"))="","",-INDIRECT(ADDRESS(MATCH($A53,【全期間】成果表実測値!$B:$B,0),U$31,4,TRUE,"【全期間】成果表実測値"))),"")</f>
        <v>-2.2999999999999998</v>
      </c>
      <c r="V53" s="282" t="str">
        <f ca="1">IFERROR(IF(INDIRECT(ADDRESS(MATCH($A53,【全期間】成果表実測値!$B:$B,0),V$31,4,TRUE,"【全期間】成果表実測値"))="","",-INDIRECT(ADDRESS(MATCH($A53,【全期間】成果表実測値!$B:$B,0),V$31,4,TRUE,"【全期間】成果表実測値"))),"")</f>
        <v/>
      </c>
      <c r="W53" s="283" t="str">
        <f ca="1">IFERROR(IF(INDIRECT(ADDRESS(MATCH($A53,【全期間】成果表実測値!$B:$B,0),W$31,4,TRUE,"【全期間】成果表実測値"))="","",-INDIRECT(ADDRESS(MATCH($A53,【全期間】成果表実測値!$B:$B,0),W$31,4,TRUE,"【全期間】成果表実測値"))),"")</f>
        <v/>
      </c>
      <c r="X53" s="281" t="str">
        <f ca="1">IFERROR(IF(INDIRECT(ADDRESS(MATCH($A53,【全期間】成果表実測値!$B:$B,0),X$31,4,TRUE,"【全期間】成果表実測値"))="","",-INDIRECT(ADDRESS(MATCH($A53,【全期間】成果表実測値!$B:$B,0),X$31,4,TRUE,"【全期間】成果表実測値"))),"")</f>
        <v/>
      </c>
      <c r="Y53" s="282" t="str">
        <f ca="1">IFERROR(IF(INDIRECT(ADDRESS(MATCH($A53,【全期間】成果表実測値!$B:$B,0),Y$31,4,TRUE,"【全期間】成果表実測値"))="","",-INDIRECT(ADDRESS(MATCH($A53,【全期間】成果表実測値!$B:$B,0),Y$31,4,TRUE,"【全期間】成果表実測値"))),"")</f>
        <v/>
      </c>
      <c r="Z53" s="282" t="str">
        <f ca="1">IFERROR(IF(INDIRECT(ADDRESS(MATCH($A53,【全期間】成果表実測値!$B:$B,0),Z$31,4,TRUE,"【全期間】成果表実測値"))="","",-INDIRECT(ADDRESS(MATCH($A53,【全期間】成果表実測値!$B:$B,0),Z$31,4,TRUE,"【全期間】成果表実測値"))),"")</f>
        <v/>
      </c>
      <c r="AA53" s="282">
        <f ca="1">IFERROR(IF(INDIRECT(ADDRESS(MATCH($A53,【全期間】成果表実測値!$B:$B,0),AA$31,4,TRUE,"【全期間】成果表実測値"))="","",-INDIRECT(ADDRESS(MATCH($A53,【全期間】成果表実測値!$B:$B,0),AA$31,4,TRUE,"【全期間】成果表実測値"))),"")</f>
        <v>1.9</v>
      </c>
      <c r="AB53" s="283" t="str">
        <f ca="1">IFERROR(IF(INDIRECT(ADDRESS(MATCH($A53,【全期間】成果表実測値!$B:$B,0),AB$31,4,TRUE,"【全期間】成果表実測値"))="","",-INDIRECT(ADDRESS(MATCH($A53,【全期間】成果表実測値!$B:$B,0),AB$31,4,TRUE,"【全期間】成果表実測値"))),"")</f>
        <v/>
      </c>
      <c r="AC53" s="281" t="str">
        <f ca="1">IFERROR(IF(INDIRECT(ADDRESS(MATCH($A53,【全期間】成果表実測値!$B:$B,0),AC$31,4,TRUE,"【全期間】成果表実測値"))="","",-INDIRECT(ADDRESS(MATCH($A53,【全期間】成果表実測値!$B:$B,0),AC$31,4,TRUE,"【全期間】成果表実測値"))),"")</f>
        <v/>
      </c>
      <c r="AD53" s="282" t="str">
        <f ca="1">IFERROR(IF(INDIRECT(ADDRESS(MATCH($A53,【全期間】成果表実測値!$B:$B,0),AD$31,4,TRUE,"【全期間】成果表実測値"))="","",-INDIRECT(ADDRESS(MATCH($A53,【全期間】成果表実測値!$B:$B,0),AD$31,4,TRUE,"【全期間】成果表実測値"))),"")</f>
        <v/>
      </c>
      <c r="AE53" s="282" t="str">
        <f ca="1">IFERROR(IF(INDIRECT(ADDRESS(MATCH($A53,【全期間】成果表実測値!$B:$B,0),AE$31,4,TRUE,"【全期間】成果表実測値"))="","",-INDIRECT(ADDRESS(MATCH($A53,【全期間】成果表実測値!$B:$B,0),AE$31,4,TRUE,"【全期間】成果表実測値"))),"")</f>
        <v/>
      </c>
      <c r="AF53" s="282" t="str">
        <f ca="1">IFERROR(IF(INDIRECT(ADDRESS(MATCH($A53,【全期間】成果表実測値!$B:$B,0),AF$31,4,TRUE,"【全期間】成果表実測値"))="","",-INDIRECT(ADDRESS(MATCH($A53,【全期間】成果表実測値!$B:$B,0),AF$31,4,TRUE,"【全期間】成果表実測値"))),"")</f>
        <v/>
      </c>
      <c r="AG53" s="283" t="str">
        <f ca="1">IFERROR(IF(INDIRECT(ADDRESS(MATCH($A53,【全期間】成果表実測値!$B:$B,0),AG$31,4,TRUE,"【全期間】成果表実測値"))="","",-INDIRECT(ADDRESS(MATCH($A53,【全期間】成果表実測値!$B:$B,0),AG$31,4,TRUE,"【全期間】成果表実測値"))),"")</f>
        <v/>
      </c>
      <c r="AH53" s="281" t="str">
        <f ca="1">IFERROR(IF(INDIRECT(ADDRESS(MATCH($A53,【全期間】成果表実測値!$B:$B,0),AH$31,4,TRUE,"【全期間】成果表実測値"))="","",-INDIRECT(ADDRESS(MATCH($A53,【全期間】成果表実測値!$B:$B,0),AH$31,4,TRUE,"【全期間】成果表実測値"))),"")</f>
        <v/>
      </c>
      <c r="AI53" s="282">
        <f ca="1">IFERROR(IF(INDIRECT(ADDRESS(MATCH($A53,【全期間】成果表実測値!$B:$B,0),AI$31,4,TRUE,"【全期間】成果表実測値"))="","",-INDIRECT(ADDRESS(MATCH($A53,【全期間】成果表実測値!$B:$B,0),AI$31,4,TRUE,"【全期間】成果表実測値"))),"")</f>
        <v>-13.6</v>
      </c>
      <c r="AJ53" s="282" t="str">
        <f ca="1">IFERROR(IF(INDIRECT(ADDRESS(MATCH($A53,【全期間】成果表実測値!$B:$B,0),AJ$31,4,TRUE,"【全期間】成果表実測値"))="","",-INDIRECT(ADDRESS(MATCH($A53,【全期間】成果表実測値!$B:$B,0),AJ$31,4,TRUE,"【全期間】成果表実測値"))),"")</f>
        <v/>
      </c>
      <c r="AK53" s="282" t="str">
        <f ca="1">IFERROR(IF(INDIRECT(ADDRESS(MATCH($A53,【全期間】成果表実測値!$B:$B,0),AK$31,4,TRUE,"【全期間】成果表実測値"))="","",-INDIRECT(ADDRESS(MATCH($A53,【全期間】成果表実測値!$B:$B,0),AK$31,4,TRUE,"【全期間】成果表実測値"))),"")</f>
        <v/>
      </c>
      <c r="AL53" s="283" t="str">
        <f ca="1">IFERROR(IF(INDIRECT(ADDRESS(MATCH($A53,【全期間】成果表実測値!$B:$B,0),AL$31,4,TRUE,"【全期間】成果表実測値"))="","",-INDIRECT(ADDRESS(MATCH($A53,【全期間】成果表実測値!$B:$B,0),AL$31,4,TRUE,"【全期間】成果表実測値"))),"")</f>
        <v/>
      </c>
      <c r="AM53" s="281" t="str">
        <f ca="1">IFERROR(IF(INDIRECT(ADDRESS(MATCH($A53,【全期間】成果表実測値!$B:$B,0),AM$31,4,TRUE,"【全期間】成果表実測値"))="","",-INDIRECT(ADDRESS(MATCH($A53,【全期間】成果表実測値!$B:$B,0),AM$31,4,TRUE,"【全期間】成果表実測値"))),"")</f>
        <v/>
      </c>
      <c r="AN53" s="282" t="str">
        <f ca="1">IFERROR(IF(INDIRECT(ADDRESS(MATCH($A53,【全期間】成果表実測値!$B:$B,0),AN$31,4,TRUE,"【全期間】成果表実測値"))="","",-INDIRECT(ADDRESS(MATCH($A53,【全期間】成果表実測値!$B:$B,0),AN$31,4,TRUE,"【全期間】成果表実測値"))),"")</f>
        <v/>
      </c>
      <c r="AO53" s="282">
        <f ca="1">IFERROR(IF(INDIRECT(ADDRESS(MATCH($A53,【全期間】成果表実測値!$B:$B,0),AO$31,4,TRUE,"【全期間】成果表実測値"))="","",-INDIRECT(ADDRESS(MATCH($A53,【全期間】成果表実測値!$B:$B,0),AO$31,4,TRUE,"【全期間】成果表実測値"))),"")</f>
        <v>1.8</v>
      </c>
      <c r="AP53" s="282" t="str">
        <f ca="1">IFERROR(IF(INDIRECT(ADDRESS(MATCH($A53,【全期間】成果表実測値!$B:$B,0),AP$31,4,TRUE,"【全期間】成果表実測値"))="","",-INDIRECT(ADDRESS(MATCH($A53,【全期間】成果表実測値!$B:$B,0),AP$31,4,TRUE,"【全期間】成果表実測値"))),"")</f>
        <v/>
      </c>
      <c r="AQ53" s="283" t="str">
        <f ca="1">IFERROR(IF(INDIRECT(ADDRESS(MATCH($A53,【全期間】成果表実測値!$B:$B,0),AQ$31,4,TRUE,"【全期間】成果表実測値"))="","",-INDIRECT(ADDRESS(MATCH($A53,【全期間】成果表実測値!$B:$B,0),AQ$31,4,TRUE,"【全期間】成果表実測値"))),"")</f>
        <v/>
      </c>
      <c r="AR53" s="281" t="str">
        <f ca="1">IFERROR(IF(INDIRECT(ADDRESS(MATCH($A53,【全期間】成果表実測値!$B:$B,0),AR$31,4,TRUE,"【全期間】成果表実測値"))="","",-INDIRECT(ADDRESS(MATCH($A53,【全期間】成果表実測値!$B:$B,0),AR$31,4,TRUE,"【全期間】成果表実測値"))),"")</f>
        <v/>
      </c>
      <c r="AS53" s="282" t="str">
        <f ca="1">IFERROR(IF(INDIRECT(ADDRESS(MATCH($A53,【全期間】成果表実測値!$B:$B,0),AS$31,4,TRUE,"【全期間】成果表実測値"))="","",-INDIRECT(ADDRESS(MATCH($A53,【全期間】成果表実測値!$B:$B,0),AS$31,4,TRUE,"【全期間】成果表実測値"))),"")</f>
        <v/>
      </c>
      <c r="AT53" s="282" t="str">
        <f ca="1">IFERROR(IF(INDIRECT(ADDRESS(MATCH($A53,【全期間】成果表実測値!$B:$B,0),AT$31,4,TRUE,"【全期間】成果表実測値"))="","",-INDIRECT(ADDRESS(MATCH($A53,【全期間】成果表実測値!$B:$B,0),AT$31,4,TRUE,"【全期間】成果表実測値"))),"")</f>
        <v/>
      </c>
      <c r="AU53" s="282">
        <f ca="1">IFERROR(IF(INDIRECT(ADDRESS(MATCH($A53,【全期間】成果表実測値!$B:$B,0),AU$31,4,TRUE,"【全期間】成果表実測値"))="","",-INDIRECT(ADDRESS(MATCH($A53,【全期間】成果表実測値!$B:$B,0),AU$31,4,TRUE,"【全期間】成果表実測値"))),"")</f>
        <v>-2.4</v>
      </c>
      <c r="AV53" s="544" t="str">
        <f ca="1">IFERROR(IF(INDIRECT(ADDRESS(MATCH($A53,【全期間】成果表実測値!$B:$B,0),AV$31,4,TRUE,"【全期間】成果表実測値"))="","",-INDIRECT(ADDRESS(MATCH($A53,【全期間】成果表実測値!$B:$B,0),AV$31,4,TRUE,"【全期間】成果表実測値"))),"")</f>
        <v/>
      </c>
      <c r="AW53" s="552" t="str">
        <f ca="1">IFERROR(IF(INDIRECT(ADDRESS(MATCH($A53,【全期間】成果表実測値!$B:$B,0),AW$31,4,TRUE,"【全期間】成果表実測値"))="","",-INDIRECT(ADDRESS(MATCH($A53,【全期間】成果表実測値!$B:$B,0),AW$31,4,TRUE,"【全期間】成果表実測値"))),"")</f>
        <v/>
      </c>
      <c r="AX53" s="282" t="str">
        <f ca="1">IFERROR(IF(INDIRECT(ADDRESS(MATCH($A53,【全期間】成果表実測値!$B:$B,0),AX$31,4,TRUE,"【全期間】成果表実測値"))="","",-INDIRECT(ADDRESS(MATCH($A53,【全期間】成果表実測値!$B:$B,0),AX$31,4,TRUE,"【全期間】成果表実測値"))),"")</f>
        <v/>
      </c>
      <c r="AY53" s="475" t="str">
        <f ca="1">IFERROR(IF(INDIRECT(ADDRESS(MATCH($A53,【全期間】成果表実測値!$B:$B,0),AY$31,4,TRUE,"【全期間】成果表実測値"))="","",-INDIRECT(ADDRESS(MATCH($A53,【全期間】成果表実測値!$B:$B,0),AY$31,4,TRUE,"【全期間】成果表実測値"))),"")</f>
        <v/>
      </c>
      <c r="AZ53" s="282">
        <f ca="1">IFERROR(IF(INDIRECT(ADDRESS(MATCH($A53,【全期間】成果表実測値!$B:$B,0),AZ$31,4,TRUE,"【全期間】成果表実測値"))="","",-INDIRECT(ADDRESS(MATCH($A53,【全期間】成果表実測値!$B:$B,0),AZ$31,4,TRUE,"【全期間】成果表実測値"))),"")</f>
        <v>-2.899999999996794</v>
      </c>
      <c r="BA53" s="283" t="str">
        <f ca="1">IFERROR(IF(INDIRECT(ADDRESS(MATCH($A53,【全期間】成果表実測値!$B:$B,0),BA$31,4,TRUE,"【全期間】成果表実測値"))="","",-INDIRECT(ADDRESS(MATCH($A53,【全期間】成果表実測値!$B:$B,0),BA$31,4,TRUE,"【全期間】成果表実測値"))),"")</f>
        <v/>
      </c>
      <c r="BB53" s="642" t="str">
        <f ca="1">IFERROR(IF(INDIRECT(ADDRESS(MATCH($A53,【全期間】成果表実測値!$B:$B,0),BB$31,4,TRUE,"【全期間】成果表実測値"))="","",-INDIRECT(ADDRESS(MATCH($A53,【全期間】成果表実測値!$B:$B,0),BB$31,4,TRUE,"【全期間】成果表実測値"))),"")</f>
        <v/>
      </c>
    </row>
    <row r="54" spans="1:54">
      <c r="A54" s="305">
        <f t="shared" si="9"/>
        <v>4598</v>
      </c>
      <c r="B54" s="263" t="str">
        <f t="shared" si="9"/>
        <v>19.厚)厚別南6丁目</v>
      </c>
      <c r="C54" s="298" t="str">
        <f t="shared" ca="1" si="9"/>
        <v>コインランドリー前</v>
      </c>
      <c r="D54" s="397"/>
      <c r="E54" s="398"/>
      <c r="F54" s="320">
        <v>0</v>
      </c>
      <c r="G54" s="282">
        <f ca="1">IFERROR(IF(INDIRECT(ADDRESS(MATCH($A54,【全期間】成果表実測値!$B:$B,0),G$31,4,TRUE,"【全期間】成果表実測値"))="","",-INDIRECT(ADDRESS(MATCH($A54,【全期間】成果表実測値!$B:$B,0),G$31,4,TRUE,"【全期間】成果表実測値"))),"")</f>
        <v>2.6</v>
      </c>
      <c r="H54" s="282">
        <f ca="1">IFERROR(IF(INDIRECT(ADDRESS(MATCH($A54,【全期間】成果表実測値!$B:$B,0),H$31,4,TRUE,"【全期間】成果表実測値"))="","",-INDIRECT(ADDRESS(MATCH($A54,【全期間】成果表実測値!$B:$B,0),H$31,4,TRUE,"【全期間】成果表実測値"))),"")</f>
        <v>3.3</v>
      </c>
      <c r="I54" s="282">
        <f ca="1">IFERROR(IF(INDIRECT(ADDRESS(MATCH($A54,【全期間】成果表実測値!$B:$B,0),I$31,4,TRUE,"【全期間】成果表実測値"))="","",-INDIRECT(ADDRESS(MATCH($A54,【全期間】成果表実測値!$B:$B,0),I$31,4,TRUE,"【全期間】成果表実測値"))),"")</f>
        <v>-11.7</v>
      </c>
      <c r="J54" s="283">
        <f ca="1">IFERROR(IF(INDIRECT(ADDRESS(MATCH($A54,【全期間】成果表実測値!$B:$B,0),J$31,4,TRUE,"【全期間】成果表実測値"))="","",-INDIRECT(ADDRESS(MATCH($A54,【全期間】成果表実測値!$B:$B,0),J$31,4,TRUE,"【全期間】成果表実測値"))),"")</f>
        <v>-5</v>
      </c>
      <c r="K54" s="281">
        <f ca="1">IFERROR(IF(INDIRECT(ADDRESS(MATCH($A54,【全期間】成果表実測値!$B:$B,0),K$31,4,TRUE,"【全期間】成果表実測値"))="","",-INDIRECT(ADDRESS(MATCH($A54,【全期間】成果表実測値!$B:$B,0),K$31,4,TRUE,"【全期間】成果表実測値"))),"")</f>
        <v>-12.9</v>
      </c>
      <c r="L54" s="282" t="str">
        <f ca="1">IFERROR(IF(INDIRECT(ADDRESS(MATCH($A54,【全期間】成果表実測値!$B:$B,0),L$31,4,TRUE,"【全期間】成果表実測値"))="","",-INDIRECT(ADDRESS(MATCH($A54,【全期間】成果表実測値!$B:$B,0),L$31,4,TRUE,"【全期間】成果表実測値"))),"")</f>
        <v/>
      </c>
      <c r="M54" s="282">
        <f ca="1">IFERROR(IF(INDIRECT(ADDRESS(MATCH($A54,【全期間】成果表実測値!$B:$B,0),M$31,4,TRUE,"【全期間】成果表実測値"))="","",-INDIRECT(ADDRESS(MATCH($A54,【全期間】成果表実測値!$B:$B,0),M$31,4,TRUE,"【全期間】成果表実測値"))),"")</f>
        <v>-4.7</v>
      </c>
      <c r="N54" s="282" t="str">
        <f ca="1">IFERROR(IF(INDIRECT(ADDRESS(MATCH($A54,【全期間】成果表実測値!$B:$B,0),N$31,4,TRUE,"【全期間】成果表実測値"))="","",-INDIRECT(ADDRESS(MATCH($A54,【全期間】成果表実測値!$B:$B,0),N$31,4,TRUE,"【全期間】成果表実測値"))),"")</f>
        <v/>
      </c>
      <c r="O54" s="283" t="str">
        <f ca="1">IFERROR(IF(INDIRECT(ADDRESS(MATCH($A54,【全期間】成果表実測値!$B:$B,0),O$31,4,TRUE,"【全期間】成果表実測値"))="","",-INDIRECT(ADDRESS(MATCH($A54,【全期間】成果表実測値!$B:$B,0),O$31,4,TRUE,"【全期間】成果表実測値"))),"")</f>
        <v/>
      </c>
      <c r="P54" s="281" t="str">
        <f ca="1">IFERROR(IF(INDIRECT(ADDRESS(MATCH($A54,【全期間】成果表実測値!$B:$B,0),P$31,4,TRUE,"【全期間】成果表実測値"))="","",-INDIRECT(ADDRESS(MATCH($A54,【全期間】成果表実測値!$B:$B,0),P$31,4,TRUE,"【全期間】成果表実測値"))),"")</f>
        <v/>
      </c>
      <c r="Q54" s="282" t="str">
        <f ca="1">IFERROR(IF(INDIRECT(ADDRESS(MATCH($A54,【全期間】成果表実測値!$B:$B,0),Q$31,4,TRUE,"【全期間】成果表実測値"))="","",-INDIRECT(ADDRESS(MATCH($A54,【全期間】成果表実測値!$B:$B,0),Q$31,4,TRUE,"【全期間】成果表実測値"))),"")</f>
        <v/>
      </c>
      <c r="R54" s="282" t="str">
        <f ca="1">IFERROR(IF(INDIRECT(ADDRESS(MATCH($A54,【全期間】成果表実測値!$B:$B,0),R$31,4,TRUE,"【全期間】成果表実測値"))="","",-INDIRECT(ADDRESS(MATCH($A54,【全期間】成果表実測値!$B:$B,0),R$31,4,TRUE,"【全期間】成果表実測値"))),"")</f>
        <v/>
      </c>
      <c r="S54" s="283" t="str">
        <f ca="1">IFERROR(IF(INDIRECT(ADDRESS(MATCH($A54,【全期間】成果表実測値!$B:$B,0),S$31,4,TRUE,"【全期間】成果表実測値"))="","",-INDIRECT(ADDRESS(MATCH($A54,【全期間】成果表実測値!$B:$B,0),S$31,4,TRUE,"【全期間】成果表実測値"))),"")</f>
        <v/>
      </c>
      <c r="T54" s="281" t="str">
        <f ca="1">IFERROR(IF(INDIRECT(ADDRESS(MATCH($A54,【全期間】成果表実測値!$B:$B,0),T$31,4,TRUE,"【全期間】成果表実測値"))="","",-INDIRECT(ADDRESS(MATCH($A54,【全期間】成果表実測値!$B:$B,0),T$31,4,TRUE,"【全期間】成果表実測値"))),"")</f>
        <v/>
      </c>
      <c r="U54" s="282">
        <f ca="1">IFERROR(IF(INDIRECT(ADDRESS(MATCH($A54,【全期間】成果表実測値!$B:$B,0),U$31,4,TRUE,"【全期間】成果表実測値"))="","",-INDIRECT(ADDRESS(MATCH($A54,【全期間】成果表実測値!$B:$B,0),U$31,4,TRUE,"【全期間】成果表実測値"))),"")</f>
        <v>-21.7</v>
      </c>
      <c r="V54" s="282" t="str">
        <f ca="1">IFERROR(IF(INDIRECT(ADDRESS(MATCH($A54,【全期間】成果表実測値!$B:$B,0),V$31,4,TRUE,"【全期間】成果表実測値"))="","",-INDIRECT(ADDRESS(MATCH($A54,【全期間】成果表実測値!$B:$B,0),V$31,4,TRUE,"【全期間】成果表実測値"))),"")</f>
        <v/>
      </c>
      <c r="W54" s="283" t="str">
        <f ca="1">IFERROR(IF(INDIRECT(ADDRESS(MATCH($A54,【全期間】成果表実測値!$B:$B,0),W$31,4,TRUE,"【全期間】成果表実測値"))="","",-INDIRECT(ADDRESS(MATCH($A54,【全期間】成果表実測値!$B:$B,0),W$31,4,TRUE,"【全期間】成果表実測値"))),"")</f>
        <v/>
      </c>
      <c r="X54" s="281">
        <f ca="1">IFERROR(IF(INDIRECT(ADDRESS(MATCH($A54,【全期間】成果表実測値!$B:$B,0),X$31,4,TRUE,"【全期間】成果表実測値"))="","",-INDIRECT(ADDRESS(MATCH($A54,【全期間】成果表実測値!$B:$B,0),X$31,4,TRUE,"【全期間】成果表実測値"))),"")</f>
        <v>-9.9</v>
      </c>
      <c r="Y54" s="282" t="str">
        <f ca="1">IFERROR(IF(INDIRECT(ADDRESS(MATCH($A54,【全期間】成果表実測値!$B:$B,0),Y$31,4,TRUE,"【全期間】成果表実測値"))="","",-INDIRECT(ADDRESS(MATCH($A54,【全期間】成果表実測値!$B:$B,0),Y$31,4,TRUE,"【全期間】成果表実測値"))),"")</f>
        <v/>
      </c>
      <c r="Z54" s="282" t="str">
        <f ca="1">IFERROR(IF(INDIRECT(ADDRESS(MATCH($A54,【全期間】成果表実測値!$B:$B,0),Z$31,4,TRUE,"【全期間】成果表実測値"))="","",-INDIRECT(ADDRESS(MATCH($A54,【全期間】成果表実測値!$B:$B,0),Z$31,4,TRUE,"【全期間】成果表実測値"))),"")</f>
        <v/>
      </c>
      <c r="AA54" s="282">
        <f ca="1">IFERROR(IF(INDIRECT(ADDRESS(MATCH($A54,【全期間】成果表実測値!$B:$B,0),AA$31,4,TRUE,"【全期間】成果表実測値"))="","",-INDIRECT(ADDRESS(MATCH($A54,【全期間】成果表実測値!$B:$B,0),AA$31,4,TRUE,"【全期間】成果表実測値"))),"")</f>
        <v>-7.4</v>
      </c>
      <c r="AB54" s="283" t="str">
        <f ca="1">IFERROR(IF(INDIRECT(ADDRESS(MATCH($A54,【全期間】成果表実測値!$B:$B,0),AB$31,4,TRUE,"【全期間】成果表実測値"))="","",-INDIRECT(ADDRESS(MATCH($A54,【全期間】成果表実測値!$B:$B,0),AB$31,4,TRUE,"【全期間】成果表実測値"))),"")</f>
        <v/>
      </c>
      <c r="AC54" s="281" t="str">
        <f ca="1">IFERROR(IF(INDIRECT(ADDRESS(MATCH($A54,【全期間】成果表実測値!$B:$B,0),AC$31,4,TRUE,"【全期間】成果表実測値"))="","",-INDIRECT(ADDRESS(MATCH($A54,【全期間】成果表実測値!$B:$B,0),AC$31,4,TRUE,"【全期間】成果表実測値"))),"")</f>
        <v/>
      </c>
      <c r="AD54" s="282" t="str">
        <f ca="1">IFERROR(IF(INDIRECT(ADDRESS(MATCH($A54,【全期間】成果表実測値!$B:$B,0),AD$31,4,TRUE,"【全期間】成果表実測値"))="","",-INDIRECT(ADDRESS(MATCH($A54,【全期間】成果表実測値!$B:$B,0),AD$31,4,TRUE,"【全期間】成果表実測値"))),"")</f>
        <v/>
      </c>
      <c r="AE54" s="282" t="str">
        <f ca="1">IFERROR(IF(INDIRECT(ADDRESS(MATCH($A54,【全期間】成果表実測値!$B:$B,0),AE$31,4,TRUE,"【全期間】成果表実測値"))="","",-INDIRECT(ADDRESS(MATCH($A54,【全期間】成果表実測値!$B:$B,0),AE$31,4,TRUE,"【全期間】成果表実測値"))),"")</f>
        <v/>
      </c>
      <c r="AF54" s="282" t="str">
        <f ca="1">IFERROR(IF(INDIRECT(ADDRESS(MATCH($A54,【全期間】成果表実測値!$B:$B,0),AF$31,4,TRUE,"【全期間】成果表実測値"))="","",-INDIRECT(ADDRESS(MATCH($A54,【全期間】成果表実測値!$B:$B,0),AF$31,4,TRUE,"【全期間】成果表実測値"))),"")</f>
        <v/>
      </c>
      <c r="AG54" s="283" t="str">
        <f ca="1">IFERROR(IF(INDIRECT(ADDRESS(MATCH($A54,【全期間】成果表実測値!$B:$B,0),AG$31,4,TRUE,"【全期間】成果表実測値"))="","",-INDIRECT(ADDRESS(MATCH($A54,【全期間】成果表実測値!$B:$B,0),AG$31,4,TRUE,"【全期間】成果表実測値"))),"")</f>
        <v/>
      </c>
      <c r="AH54" s="281" t="str">
        <f ca="1">IFERROR(IF(INDIRECT(ADDRESS(MATCH($A54,【全期間】成果表実測値!$B:$B,0),AH$31,4,TRUE,"【全期間】成果表実測値"))="","",-INDIRECT(ADDRESS(MATCH($A54,【全期間】成果表実測値!$B:$B,0),AH$31,4,TRUE,"【全期間】成果表実測値"))),"")</f>
        <v/>
      </c>
      <c r="AI54" s="282">
        <f ca="1">IFERROR(IF(INDIRECT(ADDRESS(MATCH($A54,【全期間】成果表実測値!$B:$B,0),AI$31,4,TRUE,"【全期間】成果表実測値"))="","",-INDIRECT(ADDRESS(MATCH($A54,【全期間】成果表実測値!$B:$B,0),AI$31,4,TRUE,"【全期間】成果表実測値"))),"")</f>
        <v>-29.9</v>
      </c>
      <c r="AJ54" s="282" t="str">
        <f ca="1">IFERROR(IF(INDIRECT(ADDRESS(MATCH($A54,【全期間】成果表実測値!$B:$B,0),AJ$31,4,TRUE,"【全期間】成果表実測値"))="","",-INDIRECT(ADDRESS(MATCH($A54,【全期間】成果表実測値!$B:$B,0),AJ$31,4,TRUE,"【全期間】成果表実測値"))),"")</f>
        <v/>
      </c>
      <c r="AK54" s="282" t="str">
        <f ca="1">IFERROR(IF(INDIRECT(ADDRESS(MATCH($A54,【全期間】成果表実測値!$B:$B,0),AK$31,4,TRUE,"【全期間】成果表実測値"))="","",-INDIRECT(ADDRESS(MATCH($A54,【全期間】成果表実測値!$B:$B,0),AK$31,4,TRUE,"【全期間】成果表実測値"))),"")</f>
        <v/>
      </c>
      <c r="AL54" s="283" t="str">
        <f ca="1">IFERROR(IF(INDIRECT(ADDRESS(MATCH($A54,【全期間】成果表実測値!$B:$B,0),AL$31,4,TRUE,"【全期間】成果表実測値"))="","",-INDIRECT(ADDRESS(MATCH($A54,【全期間】成果表実測値!$B:$B,0),AL$31,4,TRUE,"【全期間】成果表実測値"))),"")</f>
        <v/>
      </c>
      <c r="AM54" s="281" t="str">
        <f ca="1">IFERROR(IF(INDIRECT(ADDRESS(MATCH($A54,【全期間】成果表実測値!$B:$B,0),AM$31,4,TRUE,"【全期間】成果表実測値"))="","",-INDIRECT(ADDRESS(MATCH($A54,【全期間】成果表実測値!$B:$B,0),AM$31,4,TRUE,"【全期間】成果表実測値"))),"")</f>
        <v/>
      </c>
      <c r="AN54" s="282">
        <f ca="1">IFERROR(IF(INDIRECT(ADDRESS(MATCH($A54,【全期間】成果表実測値!$B:$B,0),AN$31,4,TRUE,"【全期間】成果表実測値"))="","",-INDIRECT(ADDRESS(MATCH($A54,【全期間】成果表実測値!$B:$B,0),AN$31,4,TRUE,"【全期間】成果表実測値"))),"")</f>
        <v>-3.2</v>
      </c>
      <c r="AO54" s="282" t="str">
        <f ca="1">IFERROR(IF(INDIRECT(ADDRESS(MATCH($A54,【全期間】成果表実測値!$B:$B,0),AO$31,4,TRUE,"【全期間】成果表実測値"))="","",-INDIRECT(ADDRESS(MATCH($A54,【全期間】成果表実測値!$B:$B,0),AO$31,4,TRUE,"【全期間】成果表実測値"))),"")</f>
        <v/>
      </c>
      <c r="AP54" s="282" t="str">
        <f ca="1">IFERROR(IF(INDIRECT(ADDRESS(MATCH($A54,【全期間】成果表実測値!$B:$B,0),AP$31,4,TRUE,"【全期間】成果表実測値"))="","",-INDIRECT(ADDRESS(MATCH($A54,【全期間】成果表実測値!$B:$B,0),AP$31,4,TRUE,"【全期間】成果表実測値"))),"")</f>
        <v/>
      </c>
      <c r="AQ54" s="283" t="str">
        <f ca="1">IFERROR(IF(INDIRECT(ADDRESS(MATCH($A54,【全期間】成果表実測値!$B:$B,0),AQ$31,4,TRUE,"【全期間】成果表実測値"))="","",-INDIRECT(ADDRESS(MATCH($A54,【全期間】成果表実測値!$B:$B,0),AQ$31,4,TRUE,"【全期間】成果表実測値"))),"")</f>
        <v/>
      </c>
      <c r="AR54" s="281" t="str">
        <f ca="1">IFERROR(IF(INDIRECT(ADDRESS(MATCH($A54,【全期間】成果表実測値!$B:$B,0),AR$31,4,TRUE,"【全期間】成果表実測値"))="","",-INDIRECT(ADDRESS(MATCH($A54,【全期間】成果表実測値!$B:$B,0),AR$31,4,TRUE,"【全期間】成果表実測値"))),"")</f>
        <v/>
      </c>
      <c r="AS54" s="282" t="str">
        <f ca="1">IFERROR(IF(INDIRECT(ADDRESS(MATCH($A54,【全期間】成果表実測値!$B:$B,0),AS$31,4,TRUE,"【全期間】成果表実測値"))="","",-INDIRECT(ADDRESS(MATCH($A54,【全期間】成果表実測値!$B:$B,0),AS$31,4,TRUE,"【全期間】成果表実測値"))),"")</f>
        <v/>
      </c>
      <c r="AT54" s="282">
        <f ca="1">IFERROR(IF(INDIRECT(ADDRESS(MATCH($A54,【全期間】成果表実測値!$B:$B,0),AT$31,4,TRUE,"【全期間】成果表実測値"))="","",-INDIRECT(ADDRESS(MATCH($A54,【全期間】成果表実測値!$B:$B,0),AT$31,4,TRUE,"【全期間】成果表実測値"))),"")</f>
        <v>-8.9</v>
      </c>
      <c r="AU54" s="282" t="str">
        <f ca="1">IFERROR(IF(INDIRECT(ADDRESS(MATCH($A54,【全期間】成果表実測値!$B:$B,0),AU$31,4,TRUE,"【全期間】成果表実測値"))="","",-INDIRECT(ADDRESS(MATCH($A54,【全期間】成果表実測値!$B:$B,0),AU$31,4,TRUE,"【全期間】成果表実測値"))),"")</f>
        <v/>
      </c>
      <c r="AV54" s="544" t="str">
        <f ca="1">IFERROR(IF(INDIRECT(ADDRESS(MATCH($A54,【全期間】成果表実測値!$B:$B,0),AV$31,4,TRUE,"【全期間】成果表実測値"))="","",-INDIRECT(ADDRESS(MATCH($A54,【全期間】成果表実測値!$B:$B,0),AV$31,4,TRUE,"【全期間】成果表実測値"))),"")</f>
        <v/>
      </c>
      <c r="AW54" s="552" t="str">
        <f ca="1">IFERROR(IF(INDIRECT(ADDRESS(MATCH($A54,【全期間】成果表実測値!$B:$B,0),AW$31,4,TRUE,"【全期間】成果表実測値"))="","",-INDIRECT(ADDRESS(MATCH($A54,【全期間】成果表実測値!$B:$B,0),AW$31,4,TRUE,"【全期間】成果表実測値"))),"")</f>
        <v/>
      </c>
      <c r="AX54" s="282" t="str">
        <f ca="1">IFERROR(IF(INDIRECT(ADDRESS(MATCH($A54,【全期間】成果表実測値!$B:$B,0),AX$31,4,TRUE,"【全期間】成果表実測値"))="","",-INDIRECT(ADDRESS(MATCH($A54,【全期間】成果表実測値!$B:$B,0),AX$31,4,TRUE,"【全期間】成果表実測値"))),"")</f>
        <v/>
      </c>
      <c r="AY54" s="475">
        <f ca="1">IFERROR(IF(INDIRECT(ADDRESS(MATCH($A54,【全期間】成果表実測値!$B:$B,0),AY$31,4,TRUE,"【全期間】成果表実測値"))="","",-INDIRECT(ADDRESS(MATCH($A54,【全期間】成果表実測値!$B:$B,0),AY$31,4,TRUE,"【全期間】成果表実測値"))),"")</f>
        <v>-3.2999999999958618</v>
      </c>
      <c r="AZ54" s="282" t="str">
        <f ca="1">IFERROR(IF(INDIRECT(ADDRESS(MATCH($A54,【全期間】成果表実測値!$B:$B,0),AZ$31,4,TRUE,"【全期間】成果表実測値"))="","",-INDIRECT(ADDRESS(MATCH($A54,【全期間】成果表実測値!$B:$B,0),AZ$31,4,TRUE,"【全期間】成果表実測値"))),"")</f>
        <v/>
      </c>
      <c r="BA54" s="283" t="str">
        <f ca="1">IFERROR(IF(INDIRECT(ADDRESS(MATCH($A54,【全期間】成果表実測値!$B:$B,0),BA$31,4,TRUE,"【全期間】成果表実測値"))="","",-INDIRECT(ADDRESS(MATCH($A54,【全期間】成果表実測値!$B:$B,0),BA$31,4,TRUE,"【全期間】成果表実測値"))),"")</f>
        <v/>
      </c>
      <c r="BB54" s="642" t="str">
        <f ca="1">IFERROR(IF(INDIRECT(ADDRESS(MATCH($A54,【全期間】成果表実測値!$B:$B,0),BB$31,4,TRUE,"【全期間】成果表実測値"))="","",-INDIRECT(ADDRESS(MATCH($A54,【全期間】成果表実測値!$B:$B,0),BB$31,4,TRUE,"【全期間】成果表実測値"))),"")</f>
        <v/>
      </c>
    </row>
    <row r="55" spans="1:54" ht="17.25" thickBot="1">
      <c r="A55" s="306" t="str">
        <f t="shared" si="9"/>
        <v>74-14</v>
      </c>
      <c r="B55" s="280" t="str">
        <f t="shared" si="9"/>
        <v>20.厚)厚別中央4条3丁目</v>
      </c>
      <c r="C55" s="299" t="str">
        <f t="shared" ca="1" si="9"/>
        <v>信濃公園</v>
      </c>
      <c r="D55" s="400"/>
      <c r="E55" s="401"/>
      <c r="F55" s="402"/>
      <c r="G55" s="321">
        <v>0</v>
      </c>
      <c r="H55" s="287">
        <f ca="1">IFERROR(IF(INDIRECT(ADDRESS(MATCH($A55,【全期間】成果表実測値!$B:$B,0),H$31,4,TRUE,"【全期間】成果表実測値"))="","",-INDIRECT(ADDRESS(MATCH($A55,【全期間】成果表実測値!$B:$B,0),H$31,4,TRUE,"【全期間】成果表実測値"))),"")</f>
        <v>5.4</v>
      </c>
      <c r="I55" s="287">
        <f ca="1">IFERROR(IF(INDIRECT(ADDRESS(MATCH($A55,【全期間】成果表実測値!$B:$B,0),I$31,4,TRUE,"【全期間】成果表実測値"))="","",-INDIRECT(ADDRESS(MATCH($A55,【全期間】成果表実測値!$B:$B,0),I$31,4,TRUE,"【全期間】成果表実測値"))),"")</f>
        <v>-15.1</v>
      </c>
      <c r="J55" s="288">
        <f ca="1">IFERROR(IF(INDIRECT(ADDRESS(MATCH($A55,【全期間】成果表実測値!$B:$B,0),J$31,4,TRUE,"【全期間】成果表実測値"))="","",-INDIRECT(ADDRESS(MATCH($A55,【全期間】成果表実測値!$B:$B,0),J$31,4,TRUE,"【全期間】成果表実測値"))),"")</f>
        <v>-1.9</v>
      </c>
      <c r="K55" s="286">
        <f ca="1">IFERROR(IF(INDIRECT(ADDRESS(MATCH($A55,【全期間】成果表実測値!$B:$B,0),K$31,4,TRUE,"【全期間】成果表実測値"))="","",-INDIRECT(ADDRESS(MATCH($A55,【全期間】成果表実測値!$B:$B,0),K$31,4,TRUE,"【全期間】成果表実測値"))),"")</f>
        <v>-15.5</v>
      </c>
      <c r="L55" s="287">
        <f ca="1">IFERROR(IF(INDIRECT(ADDRESS(MATCH($A55,【全期間】成果表実測値!$B:$B,0),L$31,4,TRUE,"【全期間】成果表実測値"))="","",-INDIRECT(ADDRESS(MATCH($A55,【全期間】成果表実測値!$B:$B,0),L$31,4,TRUE,"【全期間】成果表実測値"))),"")</f>
        <v>3.2</v>
      </c>
      <c r="M55" s="287">
        <f ca="1">IFERROR(IF(INDIRECT(ADDRESS(MATCH($A55,【全期間】成果表実測値!$B:$B,0),M$31,4,TRUE,"【全期間】成果表実測値"))="","",-INDIRECT(ADDRESS(MATCH($A55,【全期間】成果表実測値!$B:$B,0),M$31,4,TRUE,"【全期間】成果表実測値"))),"")</f>
        <v>0.2</v>
      </c>
      <c r="N55" s="287" t="str">
        <f ca="1">IFERROR(IF(INDIRECT(ADDRESS(MATCH($A55,【全期間】成果表実測値!$B:$B,0),N$31,4,TRUE,"【全期間】成果表実測値"))="","",-INDIRECT(ADDRESS(MATCH($A55,【全期間】成果表実測値!$B:$B,0),N$31,4,TRUE,"【全期間】成果表実測値"))),"")</f>
        <v/>
      </c>
      <c r="O55" s="288">
        <f ca="1">IFERROR(IF(INDIRECT(ADDRESS(MATCH($A55,【全期間】成果表実測値!$B:$B,0),O$31,4,TRUE,"【全期間】成果表実測値"))="","",-INDIRECT(ADDRESS(MATCH($A55,【全期間】成果表実測値!$B:$B,0),O$31,4,TRUE,"【全期間】成果表実測値"))),"")</f>
        <v>0.5</v>
      </c>
      <c r="P55" s="286" t="str">
        <f ca="1">IFERROR(IF(INDIRECT(ADDRESS(MATCH($A55,【全期間】成果表実測値!$B:$B,0),P$31,4,TRUE,"【全期間】成果表実測値"))="","",-INDIRECT(ADDRESS(MATCH($A55,【全期間】成果表実測値!$B:$B,0),P$31,4,TRUE,"【全期間】成果表実測値"))),"")</f>
        <v/>
      </c>
      <c r="Q55" s="287" t="str">
        <f ca="1">IFERROR(IF(INDIRECT(ADDRESS(MATCH($A55,【全期間】成果表実測値!$B:$B,0),Q$31,4,TRUE,"【全期間】成果表実測値"))="","",-INDIRECT(ADDRESS(MATCH($A55,【全期間】成果表実測値!$B:$B,0),Q$31,4,TRUE,"【全期間】成果表実測値"))),"")</f>
        <v/>
      </c>
      <c r="R55" s="287" t="str">
        <f ca="1">IFERROR(IF(INDIRECT(ADDRESS(MATCH($A55,【全期間】成果表実測値!$B:$B,0),R$31,4,TRUE,"【全期間】成果表実測値"))="","",-INDIRECT(ADDRESS(MATCH($A55,【全期間】成果表実測値!$B:$B,0),R$31,4,TRUE,"【全期間】成果表実測値"))),"")</f>
        <v/>
      </c>
      <c r="S55" s="288" t="str">
        <f ca="1">IFERROR(IF(INDIRECT(ADDRESS(MATCH($A55,【全期間】成果表実測値!$B:$B,0),S$31,4,TRUE,"【全期間】成果表実測値"))="","",-INDIRECT(ADDRESS(MATCH($A55,【全期間】成果表実測値!$B:$B,0),S$31,4,TRUE,"【全期間】成果表実測値"))),"")</f>
        <v/>
      </c>
      <c r="T55" s="286" t="str">
        <f ca="1">IFERROR(IF(INDIRECT(ADDRESS(MATCH($A55,【全期間】成果表実測値!$B:$B,0),T$31,4,TRUE,"【全期間】成果表実測値"))="","",-INDIRECT(ADDRESS(MATCH($A55,【全期間】成果表実測値!$B:$B,0),T$31,4,TRUE,"【全期間】成果表実測値"))),"")</f>
        <v/>
      </c>
      <c r="U55" s="287">
        <f ca="1">IFERROR(IF(INDIRECT(ADDRESS(MATCH($A55,【全期間】成果表実測値!$B:$B,0),U$31,4,TRUE,"【全期間】成果表実測値"))="","",-INDIRECT(ADDRESS(MATCH($A55,【全期間】成果表実測値!$B:$B,0),U$31,4,TRUE,"【全期間】成果表実測値"))),"")</f>
        <v>-25</v>
      </c>
      <c r="V55" s="287" t="str">
        <f ca="1">IFERROR(IF(INDIRECT(ADDRESS(MATCH($A55,【全期間】成果表実測値!$B:$B,0),V$31,4,TRUE,"【全期間】成果表実測値"))="","",-INDIRECT(ADDRESS(MATCH($A55,【全期間】成果表実測値!$B:$B,0),V$31,4,TRUE,"【全期間】成果表実測値"))),"")</f>
        <v/>
      </c>
      <c r="W55" s="288" t="str">
        <f ca="1">IFERROR(IF(INDIRECT(ADDRESS(MATCH($A55,【全期間】成果表実測値!$B:$B,0),W$31,4,TRUE,"【全期間】成果表実測値"))="","",-INDIRECT(ADDRESS(MATCH($A55,【全期間】成果表実測値!$B:$B,0),W$31,4,TRUE,"【全期間】成果表実測値"))),"")</f>
        <v/>
      </c>
      <c r="X55" s="286">
        <f ca="1">IFERROR(IF(INDIRECT(ADDRESS(MATCH($A55,【全期間】成果表実測値!$B:$B,0),X$31,4,TRUE,"【全期間】成果表実測値"))="","",-INDIRECT(ADDRESS(MATCH($A55,【全期間】成果表実測値!$B:$B,0),X$31,4,TRUE,"【全期間】成果表実測値"))),"")</f>
        <v>-12.8</v>
      </c>
      <c r="Y55" s="287" t="str">
        <f ca="1">IFERROR(IF(INDIRECT(ADDRESS(MATCH($A55,【全期間】成果表実測値!$B:$B,0),Y$31,4,TRUE,"【全期間】成果表実測値"))="","",-INDIRECT(ADDRESS(MATCH($A55,【全期間】成果表実測値!$B:$B,0),Y$31,4,TRUE,"【全期間】成果表実測値"))),"")</f>
        <v/>
      </c>
      <c r="Z55" s="287" t="str">
        <f ca="1">IFERROR(IF(INDIRECT(ADDRESS(MATCH($A55,【全期間】成果表実測値!$B:$B,0),Z$31,4,TRUE,"【全期間】成果表実測値"))="","",-INDIRECT(ADDRESS(MATCH($A55,【全期間】成果表実測値!$B:$B,0),Z$31,4,TRUE,"【全期間】成果表実測値"))),"")</f>
        <v/>
      </c>
      <c r="AA55" s="287">
        <f ca="1">IFERROR(IF(INDIRECT(ADDRESS(MATCH($A55,【全期間】成果表実測値!$B:$B,0),AA$31,4,TRUE,"【全期間】成果表実測値"))="","",-INDIRECT(ADDRESS(MATCH($A55,【全期間】成果表実測値!$B:$B,0),AA$31,4,TRUE,"【全期間】成果表実測値"))),"")</f>
        <v>-6.9</v>
      </c>
      <c r="AB55" s="288" t="str">
        <f ca="1">IFERROR(IF(INDIRECT(ADDRESS(MATCH($A55,【全期間】成果表実測値!$B:$B,0),AB$31,4,TRUE,"【全期間】成果表実測値"))="","",-INDIRECT(ADDRESS(MATCH($A55,【全期間】成果表実測値!$B:$B,0),AB$31,4,TRUE,"【全期間】成果表実測値"))),"")</f>
        <v/>
      </c>
      <c r="AC55" s="286" t="str">
        <f ca="1">IFERROR(IF(INDIRECT(ADDRESS(MATCH($A55,【全期間】成果表実測値!$B:$B,0),AC$31,4,TRUE,"【全期間】成果表実測値"))="","",-INDIRECT(ADDRESS(MATCH($A55,【全期間】成果表実測値!$B:$B,0),AC$31,4,TRUE,"【全期間】成果表実測値"))),"")</f>
        <v/>
      </c>
      <c r="AD55" s="287" t="str">
        <f ca="1">IFERROR(IF(INDIRECT(ADDRESS(MATCH($A55,【全期間】成果表実測値!$B:$B,0),AD$31,4,TRUE,"【全期間】成果表実測値"))="","",-INDIRECT(ADDRESS(MATCH($A55,【全期間】成果表実測値!$B:$B,0),AD$31,4,TRUE,"【全期間】成果表実測値"))),"")</f>
        <v/>
      </c>
      <c r="AE55" s="287" t="str">
        <f ca="1">IFERROR(IF(INDIRECT(ADDRESS(MATCH($A55,【全期間】成果表実測値!$B:$B,0),AE$31,4,TRUE,"【全期間】成果表実測値"))="","",-INDIRECT(ADDRESS(MATCH($A55,【全期間】成果表実測値!$B:$B,0),AE$31,4,TRUE,"【全期間】成果表実測値"))),"")</f>
        <v/>
      </c>
      <c r="AF55" s="287" t="str">
        <f ca="1">IFERROR(IF(INDIRECT(ADDRESS(MATCH($A55,【全期間】成果表実測値!$B:$B,0),AF$31,4,TRUE,"【全期間】成果表実測値"))="","",-INDIRECT(ADDRESS(MATCH($A55,【全期間】成果表実測値!$B:$B,0),AF$31,4,TRUE,"【全期間】成果表実測値"))),"")</f>
        <v/>
      </c>
      <c r="AG55" s="288" t="str">
        <f ca="1">IFERROR(IF(INDIRECT(ADDRESS(MATCH($A55,【全期間】成果表実測値!$B:$B,0),AG$31,4,TRUE,"【全期間】成果表実測値"))="","",-INDIRECT(ADDRESS(MATCH($A55,【全期間】成果表実測値!$B:$B,0),AG$31,4,TRUE,"【全期間】成果表実測値"))),"")</f>
        <v/>
      </c>
      <c r="AH55" s="286" t="str">
        <f ca="1">IFERROR(IF(INDIRECT(ADDRESS(MATCH($A55,【全期間】成果表実測値!$B:$B,0),AH$31,4,TRUE,"【全期間】成果表実測値"))="","",-INDIRECT(ADDRESS(MATCH($A55,【全期間】成果表実測値!$B:$B,0),AH$31,4,TRUE,"【全期間】成果表実測値"))),"")</f>
        <v/>
      </c>
      <c r="AI55" s="287">
        <f ca="1">IFERROR(IF(INDIRECT(ADDRESS(MATCH($A55,【全期間】成果表実測値!$B:$B,0),AI$31,4,TRUE,"【全期間】成果表実測値"))="","",-INDIRECT(ADDRESS(MATCH($A55,【全期間】成果表実測値!$B:$B,0),AI$31,4,TRUE,"【全期間】成果表実測値"))),"")</f>
        <v>-25</v>
      </c>
      <c r="AJ55" s="287" t="str">
        <f ca="1">IFERROR(IF(INDIRECT(ADDRESS(MATCH($A55,【全期間】成果表実測値!$B:$B,0),AJ$31,4,TRUE,"【全期間】成果表実測値"))="","",-INDIRECT(ADDRESS(MATCH($A55,【全期間】成果表実測値!$B:$B,0),AJ$31,4,TRUE,"【全期間】成果表実測値"))),"")</f>
        <v/>
      </c>
      <c r="AK55" s="287" t="str">
        <f ca="1">IFERROR(IF(INDIRECT(ADDRESS(MATCH($A55,【全期間】成果表実測値!$B:$B,0),AK$31,4,TRUE,"【全期間】成果表実測値"))="","",-INDIRECT(ADDRESS(MATCH($A55,【全期間】成果表実測値!$B:$B,0),AK$31,4,TRUE,"【全期間】成果表実測値"))),"")</f>
        <v/>
      </c>
      <c r="AL55" s="288" t="str">
        <f ca="1">IFERROR(IF(INDIRECT(ADDRESS(MATCH($A55,【全期間】成果表実測値!$B:$B,0),AL$31,4,TRUE,"【全期間】成果表実測値"))="","",-INDIRECT(ADDRESS(MATCH($A55,【全期間】成果表実測値!$B:$B,0),AL$31,4,TRUE,"【全期間】成果表実測値"))),"")</f>
        <v/>
      </c>
      <c r="AM55" s="286" t="str">
        <f ca="1">IFERROR(IF(INDIRECT(ADDRESS(MATCH($A55,【全期間】成果表実測値!$B:$B,0),AM$31,4,TRUE,"【全期間】成果表実測値"))="","",-INDIRECT(ADDRESS(MATCH($A55,【全期間】成果表実測値!$B:$B,0),AM$31,4,TRUE,"【全期間】成果表実測値"))),"")</f>
        <v/>
      </c>
      <c r="AN55" s="287">
        <f ca="1">IFERROR(IF(INDIRECT(ADDRESS(MATCH($A55,【全期間】成果表実測値!$B:$B,0),AN$31,4,TRUE,"【全期間】成果表実測値"))="","",-INDIRECT(ADDRESS(MATCH($A55,【全期間】成果表実測値!$B:$B,0),AN$31,4,TRUE,"【全期間】成果表実測値"))),"")</f>
        <v>-1.3</v>
      </c>
      <c r="AO55" s="287" t="str">
        <f ca="1">IFERROR(IF(INDIRECT(ADDRESS(MATCH($A55,【全期間】成果表実測値!$B:$B,0),AO$31,4,TRUE,"【全期間】成果表実測値"))="","",-INDIRECT(ADDRESS(MATCH($A55,【全期間】成果表実測値!$B:$B,0),AO$31,4,TRUE,"【全期間】成果表実測値"))),"")</f>
        <v/>
      </c>
      <c r="AP55" s="287" t="str">
        <f ca="1">IFERROR(IF(INDIRECT(ADDRESS(MATCH($A55,【全期間】成果表実測値!$B:$B,0),AP$31,4,TRUE,"【全期間】成果表実測値"))="","",-INDIRECT(ADDRESS(MATCH($A55,【全期間】成果表実測値!$B:$B,0),AP$31,4,TRUE,"【全期間】成果表実測値"))),"")</f>
        <v/>
      </c>
      <c r="AQ55" s="288" t="str">
        <f ca="1">IFERROR(IF(INDIRECT(ADDRESS(MATCH($A55,【全期間】成果表実測値!$B:$B,0),AQ$31,4,TRUE,"【全期間】成果表実測値"))="","",-INDIRECT(ADDRESS(MATCH($A55,【全期間】成果表実測値!$B:$B,0),AQ$31,4,TRUE,"【全期間】成果表実測値"))),"")</f>
        <v/>
      </c>
      <c r="AR55" s="286">
        <f ca="1">IFERROR(IF(INDIRECT(ADDRESS(MATCH($A55,【全期間】成果表実測値!$B:$B,0),AR$31,4,TRUE,"【全期間】成果表実測値"))="","",-INDIRECT(ADDRESS(MATCH($A55,【全期間】成果表実測値!$B:$B,0),AR$31,4,TRUE,"【全期間】成果表実測値"))),"")</f>
        <v>-3.7</v>
      </c>
      <c r="AS55" s="287" t="str">
        <f ca="1">IFERROR(IF(INDIRECT(ADDRESS(MATCH($A55,【全期間】成果表実測値!$B:$B,0),AS$31,4,TRUE,"【全期間】成果表実測値"))="","",-INDIRECT(ADDRESS(MATCH($A55,【全期間】成果表実測値!$B:$B,0),AS$31,4,TRUE,"【全期間】成果表実測値"))),"")</f>
        <v/>
      </c>
      <c r="AT55" s="287">
        <f ca="1">IFERROR(IF(INDIRECT(ADDRESS(MATCH($A55,【全期間】成果表実測値!$B:$B,0),AT$31,4,TRUE,"【全期間】成果表実測値"))="","",-INDIRECT(ADDRESS(MATCH($A55,【全期間】成果表実測値!$B:$B,0),AT$31,4,TRUE,"【全期間】成果表実測値"))),"")</f>
        <v>1.3</v>
      </c>
      <c r="AU55" s="287" t="str">
        <f ca="1">IFERROR(IF(INDIRECT(ADDRESS(MATCH($A55,【全期間】成果表実測値!$B:$B,0),AU$31,4,TRUE,"【全期間】成果表実測値"))="","",-INDIRECT(ADDRESS(MATCH($A55,【全期間】成果表実測値!$B:$B,0),AU$31,4,TRUE,"【全期間】成果表実測値"))),"")</f>
        <v/>
      </c>
      <c r="AV55" s="545" t="str">
        <f ca="1">IFERROR(IF(INDIRECT(ADDRESS(MATCH($A55,【全期間】成果表実測値!$B:$B,0),AV$31,4,TRUE,"【全期間】成果表実測値"))="","",-INDIRECT(ADDRESS(MATCH($A55,【全期間】成果表実測値!$B:$B,0),AV$31,4,TRUE,"【全期間】成果表実測値"))),"")</f>
        <v/>
      </c>
      <c r="AW55" s="553">
        <f ca="1">IFERROR(IF(INDIRECT(ADDRESS(MATCH($A55,【全期間】成果表実測値!$B:$B,0),AW$31,4,TRUE,"【全期間】成果表実測値"))="","",-INDIRECT(ADDRESS(MATCH($A55,【全期間】成果表実測値!$B:$B,0),AW$31,4,TRUE,"【全期間】成果表実測値"))),"")</f>
        <v>-1.9999999999988916</v>
      </c>
      <c r="AX55" s="287" t="str">
        <f ca="1">IFERROR(IF(INDIRECT(ADDRESS(MATCH($A55,【全期間】成果表実測値!$B:$B,0),AX$31,4,TRUE,"【全期間】成果表実測値"))="","",-INDIRECT(ADDRESS(MATCH($A55,【全期間】成果表実測値!$B:$B,0),AX$31,4,TRUE,"【全期間】成果表実測値"))),"")</f>
        <v/>
      </c>
      <c r="AY55" s="549">
        <f ca="1">IFERROR(IF(INDIRECT(ADDRESS(MATCH($A55,【全期間】成果表実測値!$B:$B,0),AY$31,4,TRUE,"【全期間】成果表実測値"))="","",-INDIRECT(ADDRESS(MATCH($A55,【全期間】成果表実測値!$B:$B,0),AY$31,4,TRUE,"【全期間】成果表実測値"))),"")</f>
        <v>-0.70000000000192131</v>
      </c>
      <c r="AZ55" s="287" t="str">
        <f ca="1">IFERROR(IF(INDIRECT(ADDRESS(MATCH($A55,【全期間】成果表実測値!$B:$B,0),AZ$31,4,TRUE,"【全期間】成果表実測値"))="","",-INDIRECT(ADDRESS(MATCH($A55,【全期間】成果表実測値!$B:$B,0),AZ$31,4,TRUE,"【全期間】成果表実測値"))),"")</f>
        <v/>
      </c>
      <c r="BA55" s="288">
        <f ca="1">IFERROR(IF(INDIRECT(ADDRESS(MATCH($A55,【全期間】成果表実測値!$B:$B,0),BA$31,4,TRUE,"【全期間】成果表実測値"))="","",-INDIRECT(ADDRESS(MATCH($A55,【全期間】成果表実測値!$B:$B,0),BA$31,4,TRUE,"【全期間】成果表実測値"))),"")</f>
        <v>-0.59999999999860165</v>
      </c>
      <c r="BB55" s="646" t="str">
        <f ca="1">IFERROR(IF(INDIRECT(ADDRESS(MATCH($A55,【全期間】成果表実測値!$B:$B,0),BB$31,4,TRUE,"【全期間】成果表実測値"))="","",-INDIRECT(ADDRESS(MATCH($A55,【全期間】成果表実測値!$B:$B,0),BB$31,4,TRUE,"【全期間】成果表実測値"))),"")</f>
        <v/>
      </c>
    </row>
  </sheetData>
  <mergeCells count="6">
    <mergeCell ref="C30:C31"/>
    <mergeCell ref="B30:B31"/>
    <mergeCell ref="A30:A31"/>
    <mergeCell ref="C2:C3"/>
    <mergeCell ref="A2:A3"/>
    <mergeCell ref="B2:B3"/>
  </mergeCells>
  <phoneticPr fontId="1"/>
  <pageMargins left="0.74803149606299213" right="0.74803149606299213" top="0.98425196850393704" bottom="0.98425196850393704" header="0.51181102362204722" footer="0.51181102362204722"/>
  <pageSetup paperSize="9" pageOrder="overThenDown" orientation="landscape" r:id="rId1"/>
  <headerFooter alignWithMargins="0"/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B1:M90"/>
  <sheetViews>
    <sheetView defaultGridColor="0" view="pageBreakPreview" topLeftCell="B1" colorId="22" zoomScale="85" zoomScaleNormal="100" zoomScaleSheetLayoutView="85" workbookViewId="0">
      <selection activeCell="AR9" sqref="AR9:BU9"/>
    </sheetView>
  </sheetViews>
  <sheetFormatPr defaultColWidth="10.625" defaultRowHeight="13.5"/>
  <cols>
    <col min="1" max="1" width="2.625" customWidth="1"/>
    <col min="2" max="11" width="12.625" customWidth="1"/>
    <col min="12" max="12" width="6.625" customWidth="1"/>
    <col min="13" max="13" width="12.625" customWidth="1"/>
    <col min="14" max="14" width="1.625" customWidth="1"/>
  </cols>
  <sheetData>
    <row r="1" spans="2:13" s="260" customFormat="1" ht="21.95" customHeight="1">
      <c r="B1" s="734" t="s">
        <v>1249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</row>
    <row r="90" spans="2:2">
      <c r="B90" t="s">
        <v>1148</v>
      </c>
    </row>
  </sheetData>
  <mergeCells count="1">
    <mergeCell ref="B1:M1"/>
  </mergeCells>
  <phoneticPr fontId="1"/>
  <printOptions horizontalCentered="1"/>
  <pageMargins left="0.39370078740157483" right="0.39370078740157483" top="0.78740157480314965" bottom="0.39370078740157483" header="0.59055118110236227" footer="0.51181102362204722"/>
  <pageSetup paperSize="9" scale="9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37"/>
  <sheetViews>
    <sheetView workbookViewId="0">
      <selection activeCell="AR9" sqref="AR9:BU9"/>
    </sheetView>
  </sheetViews>
  <sheetFormatPr defaultRowHeight="13.5"/>
  <cols>
    <col min="1" max="1" width="4.625" bestFit="1" customWidth="1"/>
    <col min="2" max="2" width="6.125" style="194" bestFit="1" customWidth="1"/>
    <col min="3" max="3" width="9.25" bestFit="1" customWidth="1"/>
    <col min="4" max="4" width="4.5" bestFit="1" customWidth="1"/>
    <col min="5" max="5" width="17.875" customWidth="1"/>
    <col min="6" max="6" width="17.375" bestFit="1" customWidth="1"/>
    <col min="7" max="8" width="4.375" bestFit="1" customWidth="1"/>
    <col min="9" max="9" width="6" bestFit="1" customWidth="1"/>
    <col min="10" max="10" width="8.625" bestFit="1" customWidth="1"/>
    <col min="12" max="35" width="7.875" customWidth="1"/>
    <col min="36" max="36" width="9.125" style="196" customWidth="1"/>
    <col min="37" max="37" width="7.625" bestFit="1" customWidth="1"/>
    <col min="38" max="38" width="29.5" bestFit="1" customWidth="1"/>
    <col min="39" max="39" width="9.25" bestFit="1" customWidth="1"/>
    <col min="40" max="40" width="3.625" customWidth="1"/>
    <col min="41" max="41" width="2.75" bestFit="1" customWidth="1"/>
    <col min="42" max="42" width="2.875" bestFit="1" customWidth="1"/>
    <col min="43" max="43" width="9" style="171"/>
    <col min="44" max="44" width="9" style="172"/>
    <col min="257" max="257" width="4.625" bestFit="1" customWidth="1"/>
    <col min="258" max="258" width="6.125" bestFit="1" customWidth="1"/>
    <col min="259" max="259" width="9.25" bestFit="1" customWidth="1"/>
    <col min="260" max="260" width="4.5" bestFit="1" customWidth="1"/>
    <col min="261" max="261" width="17.875" customWidth="1"/>
    <col min="262" max="262" width="17.375" bestFit="1" customWidth="1"/>
    <col min="263" max="264" width="4.375" bestFit="1" customWidth="1"/>
    <col min="265" max="265" width="6" bestFit="1" customWidth="1"/>
    <col min="266" max="266" width="8.625" bestFit="1" customWidth="1"/>
    <col min="268" max="291" width="7.875" customWidth="1"/>
    <col min="292" max="292" width="9.125" customWidth="1"/>
    <col min="293" max="293" width="7.625" bestFit="1" customWidth="1"/>
    <col min="294" max="294" width="29.5" bestFit="1" customWidth="1"/>
    <col min="295" max="295" width="9.25" bestFit="1" customWidth="1"/>
    <col min="296" max="296" width="3.625" customWidth="1"/>
    <col min="297" max="297" width="2.75" bestFit="1" customWidth="1"/>
    <col min="298" max="298" width="2.875" bestFit="1" customWidth="1"/>
    <col min="513" max="513" width="4.625" bestFit="1" customWidth="1"/>
    <col min="514" max="514" width="6.125" bestFit="1" customWidth="1"/>
    <col min="515" max="515" width="9.25" bestFit="1" customWidth="1"/>
    <col min="516" max="516" width="4.5" bestFit="1" customWidth="1"/>
    <col min="517" max="517" width="17.875" customWidth="1"/>
    <col min="518" max="518" width="17.375" bestFit="1" customWidth="1"/>
    <col min="519" max="520" width="4.375" bestFit="1" customWidth="1"/>
    <col min="521" max="521" width="6" bestFit="1" customWidth="1"/>
    <col min="522" max="522" width="8.625" bestFit="1" customWidth="1"/>
    <col min="524" max="547" width="7.875" customWidth="1"/>
    <col min="548" max="548" width="9.125" customWidth="1"/>
    <col min="549" max="549" width="7.625" bestFit="1" customWidth="1"/>
    <col min="550" max="550" width="29.5" bestFit="1" customWidth="1"/>
    <col min="551" max="551" width="9.25" bestFit="1" customWidth="1"/>
    <col min="552" max="552" width="3.625" customWidth="1"/>
    <col min="553" max="553" width="2.75" bestFit="1" customWidth="1"/>
    <col min="554" max="554" width="2.875" bestFit="1" customWidth="1"/>
    <col min="769" max="769" width="4.625" bestFit="1" customWidth="1"/>
    <col min="770" max="770" width="6.125" bestFit="1" customWidth="1"/>
    <col min="771" max="771" width="9.25" bestFit="1" customWidth="1"/>
    <col min="772" max="772" width="4.5" bestFit="1" customWidth="1"/>
    <col min="773" max="773" width="17.875" customWidth="1"/>
    <col min="774" max="774" width="17.375" bestFit="1" customWidth="1"/>
    <col min="775" max="776" width="4.375" bestFit="1" customWidth="1"/>
    <col min="777" max="777" width="6" bestFit="1" customWidth="1"/>
    <col min="778" max="778" width="8.625" bestFit="1" customWidth="1"/>
    <col min="780" max="803" width="7.875" customWidth="1"/>
    <col min="804" max="804" width="9.125" customWidth="1"/>
    <col min="805" max="805" width="7.625" bestFit="1" customWidth="1"/>
    <col min="806" max="806" width="29.5" bestFit="1" customWidth="1"/>
    <col min="807" max="807" width="9.25" bestFit="1" customWidth="1"/>
    <col min="808" max="808" width="3.625" customWidth="1"/>
    <col min="809" max="809" width="2.75" bestFit="1" customWidth="1"/>
    <col min="810" max="810" width="2.875" bestFit="1" customWidth="1"/>
    <col min="1025" max="1025" width="4.625" bestFit="1" customWidth="1"/>
    <col min="1026" max="1026" width="6.125" bestFit="1" customWidth="1"/>
    <col min="1027" max="1027" width="9.25" bestFit="1" customWidth="1"/>
    <col min="1028" max="1028" width="4.5" bestFit="1" customWidth="1"/>
    <col min="1029" max="1029" width="17.875" customWidth="1"/>
    <col min="1030" max="1030" width="17.375" bestFit="1" customWidth="1"/>
    <col min="1031" max="1032" width="4.375" bestFit="1" customWidth="1"/>
    <col min="1033" max="1033" width="6" bestFit="1" customWidth="1"/>
    <col min="1034" max="1034" width="8.625" bestFit="1" customWidth="1"/>
    <col min="1036" max="1059" width="7.875" customWidth="1"/>
    <col min="1060" max="1060" width="9.125" customWidth="1"/>
    <col min="1061" max="1061" width="7.625" bestFit="1" customWidth="1"/>
    <col min="1062" max="1062" width="29.5" bestFit="1" customWidth="1"/>
    <col min="1063" max="1063" width="9.25" bestFit="1" customWidth="1"/>
    <col min="1064" max="1064" width="3.625" customWidth="1"/>
    <col min="1065" max="1065" width="2.75" bestFit="1" customWidth="1"/>
    <col min="1066" max="1066" width="2.875" bestFit="1" customWidth="1"/>
    <col min="1281" max="1281" width="4.625" bestFit="1" customWidth="1"/>
    <col min="1282" max="1282" width="6.125" bestFit="1" customWidth="1"/>
    <col min="1283" max="1283" width="9.25" bestFit="1" customWidth="1"/>
    <col min="1284" max="1284" width="4.5" bestFit="1" customWidth="1"/>
    <col min="1285" max="1285" width="17.875" customWidth="1"/>
    <col min="1286" max="1286" width="17.375" bestFit="1" customWidth="1"/>
    <col min="1287" max="1288" width="4.375" bestFit="1" customWidth="1"/>
    <col min="1289" max="1289" width="6" bestFit="1" customWidth="1"/>
    <col min="1290" max="1290" width="8.625" bestFit="1" customWidth="1"/>
    <col min="1292" max="1315" width="7.875" customWidth="1"/>
    <col min="1316" max="1316" width="9.125" customWidth="1"/>
    <col min="1317" max="1317" width="7.625" bestFit="1" customWidth="1"/>
    <col min="1318" max="1318" width="29.5" bestFit="1" customWidth="1"/>
    <col min="1319" max="1319" width="9.25" bestFit="1" customWidth="1"/>
    <col min="1320" max="1320" width="3.625" customWidth="1"/>
    <col min="1321" max="1321" width="2.75" bestFit="1" customWidth="1"/>
    <col min="1322" max="1322" width="2.875" bestFit="1" customWidth="1"/>
    <col min="1537" max="1537" width="4.625" bestFit="1" customWidth="1"/>
    <col min="1538" max="1538" width="6.125" bestFit="1" customWidth="1"/>
    <col min="1539" max="1539" width="9.25" bestFit="1" customWidth="1"/>
    <col min="1540" max="1540" width="4.5" bestFit="1" customWidth="1"/>
    <col min="1541" max="1541" width="17.875" customWidth="1"/>
    <col min="1542" max="1542" width="17.375" bestFit="1" customWidth="1"/>
    <col min="1543" max="1544" width="4.375" bestFit="1" customWidth="1"/>
    <col min="1545" max="1545" width="6" bestFit="1" customWidth="1"/>
    <col min="1546" max="1546" width="8.625" bestFit="1" customWidth="1"/>
    <col min="1548" max="1571" width="7.875" customWidth="1"/>
    <col min="1572" max="1572" width="9.125" customWidth="1"/>
    <col min="1573" max="1573" width="7.625" bestFit="1" customWidth="1"/>
    <col min="1574" max="1574" width="29.5" bestFit="1" customWidth="1"/>
    <col min="1575" max="1575" width="9.25" bestFit="1" customWidth="1"/>
    <col min="1576" max="1576" width="3.625" customWidth="1"/>
    <col min="1577" max="1577" width="2.75" bestFit="1" customWidth="1"/>
    <col min="1578" max="1578" width="2.875" bestFit="1" customWidth="1"/>
    <col min="1793" max="1793" width="4.625" bestFit="1" customWidth="1"/>
    <col min="1794" max="1794" width="6.125" bestFit="1" customWidth="1"/>
    <col min="1795" max="1795" width="9.25" bestFit="1" customWidth="1"/>
    <col min="1796" max="1796" width="4.5" bestFit="1" customWidth="1"/>
    <col min="1797" max="1797" width="17.875" customWidth="1"/>
    <col min="1798" max="1798" width="17.375" bestFit="1" customWidth="1"/>
    <col min="1799" max="1800" width="4.375" bestFit="1" customWidth="1"/>
    <col min="1801" max="1801" width="6" bestFit="1" customWidth="1"/>
    <col min="1802" max="1802" width="8.625" bestFit="1" customWidth="1"/>
    <col min="1804" max="1827" width="7.875" customWidth="1"/>
    <col min="1828" max="1828" width="9.125" customWidth="1"/>
    <col min="1829" max="1829" width="7.625" bestFit="1" customWidth="1"/>
    <col min="1830" max="1830" width="29.5" bestFit="1" customWidth="1"/>
    <col min="1831" max="1831" width="9.25" bestFit="1" customWidth="1"/>
    <col min="1832" max="1832" width="3.625" customWidth="1"/>
    <col min="1833" max="1833" width="2.75" bestFit="1" customWidth="1"/>
    <col min="1834" max="1834" width="2.875" bestFit="1" customWidth="1"/>
    <col min="2049" max="2049" width="4.625" bestFit="1" customWidth="1"/>
    <col min="2050" max="2050" width="6.125" bestFit="1" customWidth="1"/>
    <col min="2051" max="2051" width="9.25" bestFit="1" customWidth="1"/>
    <col min="2052" max="2052" width="4.5" bestFit="1" customWidth="1"/>
    <col min="2053" max="2053" width="17.875" customWidth="1"/>
    <col min="2054" max="2054" width="17.375" bestFit="1" customWidth="1"/>
    <col min="2055" max="2056" width="4.375" bestFit="1" customWidth="1"/>
    <col min="2057" max="2057" width="6" bestFit="1" customWidth="1"/>
    <col min="2058" max="2058" width="8.625" bestFit="1" customWidth="1"/>
    <col min="2060" max="2083" width="7.875" customWidth="1"/>
    <col min="2084" max="2084" width="9.125" customWidth="1"/>
    <col min="2085" max="2085" width="7.625" bestFit="1" customWidth="1"/>
    <col min="2086" max="2086" width="29.5" bestFit="1" customWidth="1"/>
    <col min="2087" max="2087" width="9.25" bestFit="1" customWidth="1"/>
    <col min="2088" max="2088" width="3.625" customWidth="1"/>
    <col min="2089" max="2089" width="2.75" bestFit="1" customWidth="1"/>
    <col min="2090" max="2090" width="2.875" bestFit="1" customWidth="1"/>
    <col min="2305" max="2305" width="4.625" bestFit="1" customWidth="1"/>
    <col min="2306" max="2306" width="6.125" bestFit="1" customWidth="1"/>
    <col min="2307" max="2307" width="9.25" bestFit="1" customWidth="1"/>
    <col min="2308" max="2308" width="4.5" bestFit="1" customWidth="1"/>
    <col min="2309" max="2309" width="17.875" customWidth="1"/>
    <col min="2310" max="2310" width="17.375" bestFit="1" customWidth="1"/>
    <col min="2311" max="2312" width="4.375" bestFit="1" customWidth="1"/>
    <col min="2313" max="2313" width="6" bestFit="1" customWidth="1"/>
    <col min="2314" max="2314" width="8.625" bestFit="1" customWidth="1"/>
    <col min="2316" max="2339" width="7.875" customWidth="1"/>
    <col min="2340" max="2340" width="9.125" customWidth="1"/>
    <col min="2341" max="2341" width="7.625" bestFit="1" customWidth="1"/>
    <col min="2342" max="2342" width="29.5" bestFit="1" customWidth="1"/>
    <col min="2343" max="2343" width="9.25" bestFit="1" customWidth="1"/>
    <col min="2344" max="2344" width="3.625" customWidth="1"/>
    <col min="2345" max="2345" width="2.75" bestFit="1" customWidth="1"/>
    <col min="2346" max="2346" width="2.875" bestFit="1" customWidth="1"/>
    <col min="2561" max="2561" width="4.625" bestFit="1" customWidth="1"/>
    <col min="2562" max="2562" width="6.125" bestFit="1" customWidth="1"/>
    <col min="2563" max="2563" width="9.25" bestFit="1" customWidth="1"/>
    <col min="2564" max="2564" width="4.5" bestFit="1" customWidth="1"/>
    <col min="2565" max="2565" width="17.875" customWidth="1"/>
    <col min="2566" max="2566" width="17.375" bestFit="1" customWidth="1"/>
    <col min="2567" max="2568" width="4.375" bestFit="1" customWidth="1"/>
    <col min="2569" max="2569" width="6" bestFit="1" customWidth="1"/>
    <col min="2570" max="2570" width="8.625" bestFit="1" customWidth="1"/>
    <col min="2572" max="2595" width="7.875" customWidth="1"/>
    <col min="2596" max="2596" width="9.125" customWidth="1"/>
    <col min="2597" max="2597" width="7.625" bestFit="1" customWidth="1"/>
    <col min="2598" max="2598" width="29.5" bestFit="1" customWidth="1"/>
    <col min="2599" max="2599" width="9.25" bestFit="1" customWidth="1"/>
    <col min="2600" max="2600" width="3.625" customWidth="1"/>
    <col min="2601" max="2601" width="2.75" bestFit="1" customWidth="1"/>
    <col min="2602" max="2602" width="2.875" bestFit="1" customWidth="1"/>
    <col min="2817" max="2817" width="4.625" bestFit="1" customWidth="1"/>
    <col min="2818" max="2818" width="6.125" bestFit="1" customWidth="1"/>
    <col min="2819" max="2819" width="9.25" bestFit="1" customWidth="1"/>
    <col min="2820" max="2820" width="4.5" bestFit="1" customWidth="1"/>
    <col min="2821" max="2821" width="17.875" customWidth="1"/>
    <col min="2822" max="2822" width="17.375" bestFit="1" customWidth="1"/>
    <col min="2823" max="2824" width="4.375" bestFit="1" customWidth="1"/>
    <col min="2825" max="2825" width="6" bestFit="1" customWidth="1"/>
    <col min="2826" max="2826" width="8.625" bestFit="1" customWidth="1"/>
    <col min="2828" max="2851" width="7.875" customWidth="1"/>
    <col min="2852" max="2852" width="9.125" customWidth="1"/>
    <col min="2853" max="2853" width="7.625" bestFit="1" customWidth="1"/>
    <col min="2854" max="2854" width="29.5" bestFit="1" customWidth="1"/>
    <col min="2855" max="2855" width="9.25" bestFit="1" customWidth="1"/>
    <col min="2856" max="2856" width="3.625" customWidth="1"/>
    <col min="2857" max="2857" width="2.75" bestFit="1" customWidth="1"/>
    <col min="2858" max="2858" width="2.875" bestFit="1" customWidth="1"/>
    <col min="3073" max="3073" width="4.625" bestFit="1" customWidth="1"/>
    <col min="3074" max="3074" width="6.125" bestFit="1" customWidth="1"/>
    <col min="3075" max="3075" width="9.25" bestFit="1" customWidth="1"/>
    <col min="3076" max="3076" width="4.5" bestFit="1" customWidth="1"/>
    <col min="3077" max="3077" width="17.875" customWidth="1"/>
    <col min="3078" max="3078" width="17.375" bestFit="1" customWidth="1"/>
    <col min="3079" max="3080" width="4.375" bestFit="1" customWidth="1"/>
    <col min="3081" max="3081" width="6" bestFit="1" customWidth="1"/>
    <col min="3082" max="3082" width="8.625" bestFit="1" customWidth="1"/>
    <col min="3084" max="3107" width="7.875" customWidth="1"/>
    <col min="3108" max="3108" width="9.125" customWidth="1"/>
    <col min="3109" max="3109" width="7.625" bestFit="1" customWidth="1"/>
    <col min="3110" max="3110" width="29.5" bestFit="1" customWidth="1"/>
    <col min="3111" max="3111" width="9.25" bestFit="1" customWidth="1"/>
    <col min="3112" max="3112" width="3.625" customWidth="1"/>
    <col min="3113" max="3113" width="2.75" bestFit="1" customWidth="1"/>
    <col min="3114" max="3114" width="2.875" bestFit="1" customWidth="1"/>
    <col min="3329" max="3329" width="4.625" bestFit="1" customWidth="1"/>
    <col min="3330" max="3330" width="6.125" bestFit="1" customWidth="1"/>
    <col min="3331" max="3331" width="9.25" bestFit="1" customWidth="1"/>
    <col min="3332" max="3332" width="4.5" bestFit="1" customWidth="1"/>
    <col min="3333" max="3333" width="17.875" customWidth="1"/>
    <col min="3334" max="3334" width="17.375" bestFit="1" customWidth="1"/>
    <col min="3335" max="3336" width="4.375" bestFit="1" customWidth="1"/>
    <col min="3337" max="3337" width="6" bestFit="1" customWidth="1"/>
    <col min="3338" max="3338" width="8.625" bestFit="1" customWidth="1"/>
    <col min="3340" max="3363" width="7.875" customWidth="1"/>
    <col min="3364" max="3364" width="9.125" customWidth="1"/>
    <col min="3365" max="3365" width="7.625" bestFit="1" customWidth="1"/>
    <col min="3366" max="3366" width="29.5" bestFit="1" customWidth="1"/>
    <col min="3367" max="3367" width="9.25" bestFit="1" customWidth="1"/>
    <col min="3368" max="3368" width="3.625" customWidth="1"/>
    <col min="3369" max="3369" width="2.75" bestFit="1" customWidth="1"/>
    <col min="3370" max="3370" width="2.875" bestFit="1" customWidth="1"/>
    <col min="3585" max="3585" width="4.625" bestFit="1" customWidth="1"/>
    <col min="3586" max="3586" width="6.125" bestFit="1" customWidth="1"/>
    <col min="3587" max="3587" width="9.25" bestFit="1" customWidth="1"/>
    <col min="3588" max="3588" width="4.5" bestFit="1" customWidth="1"/>
    <col min="3589" max="3589" width="17.875" customWidth="1"/>
    <col min="3590" max="3590" width="17.375" bestFit="1" customWidth="1"/>
    <col min="3591" max="3592" width="4.375" bestFit="1" customWidth="1"/>
    <col min="3593" max="3593" width="6" bestFit="1" customWidth="1"/>
    <col min="3594" max="3594" width="8.625" bestFit="1" customWidth="1"/>
    <col min="3596" max="3619" width="7.875" customWidth="1"/>
    <col min="3620" max="3620" width="9.125" customWidth="1"/>
    <col min="3621" max="3621" width="7.625" bestFit="1" customWidth="1"/>
    <col min="3622" max="3622" width="29.5" bestFit="1" customWidth="1"/>
    <col min="3623" max="3623" width="9.25" bestFit="1" customWidth="1"/>
    <col min="3624" max="3624" width="3.625" customWidth="1"/>
    <col min="3625" max="3625" width="2.75" bestFit="1" customWidth="1"/>
    <col min="3626" max="3626" width="2.875" bestFit="1" customWidth="1"/>
    <col min="3841" max="3841" width="4.625" bestFit="1" customWidth="1"/>
    <col min="3842" max="3842" width="6.125" bestFit="1" customWidth="1"/>
    <col min="3843" max="3843" width="9.25" bestFit="1" customWidth="1"/>
    <col min="3844" max="3844" width="4.5" bestFit="1" customWidth="1"/>
    <col min="3845" max="3845" width="17.875" customWidth="1"/>
    <col min="3846" max="3846" width="17.375" bestFit="1" customWidth="1"/>
    <col min="3847" max="3848" width="4.375" bestFit="1" customWidth="1"/>
    <col min="3849" max="3849" width="6" bestFit="1" customWidth="1"/>
    <col min="3850" max="3850" width="8.625" bestFit="1" customWidth="1"/>
    <col min="3852" max="3875" width="7.875" customWidth="1"/>
    <col min="3876" max="3876" width="9.125" customWidth="1"/>
    <col min="3877" max="3877" width="7.625" bestFit="1" customWidth="1"/>
    <col min="3878" max="3878" width="29.5" bestFit="1" customWidth="1"/>
    <col min="3879" max="3879" width="9.25" bestFit="1" customWidth="1"/>
    <col min="3880" max="3880" width="3.625" customWidth="1"/>
    <col min="3881" max="3881" width="2.75" bestFit="1" customWidth="1"/>
    <col min="3882" max="3882" width="2.875" bestFit="1" customWidth="1"/>
    <col min="4097" max="4097" width="4.625" bestFit="1" customWidth="1"/>
    <col min="4098" max="4098" width="6.125" bestFit="1" customWidth="1"/>
    <col min="4099" max="4099" width="9.25" bestFit="1" customWidth="1"/>
    <col min="4100" max="4100" width="4.5" bestFit="1" customWidth="1"/>
    <col min="4101" max="4101" width="17.875" customWidth="1"/>
    <col min="4102" max="4102" width="17.375" bestFit="1" customWidth="1"/>
    <col min="4103" max="4104" width="4.375" bestFit="1" customWidth="1"/>
    <col min="4105" max="4105" width="6" bestFit="1" customWidth="1"/>
    <col min="4106" max="4106" width="8.625" bestFit="1" customWidth="1"/>
    <col min="4108" max="4131" width="7.875" customWidth="1"/>
    <col min="4132" max="4132" width="9.125" customWidth="1"/>
    <col min="4133" max="4133" width="7.625" bestFit="1" customWidth="1"/>
    <col min="4134" max="4134" width="29.5" bestFit="1" customWidth="1"/>
    <col min="4135" max="4135" width="9.25" bestFit="1" customWidth="1"/>
    <col min="4136" max="4136" width="3.625" customWidth="1"/>
    <col min="4137" max="4137" width="2.75" bestFit="1" customWidth="1"/>
    <col min="4138" max="4138" width="2.875" bestFit="1" customWidth="1"/>
    <col min="4353" max="4353" width="4.625" bestFit="1" customWidth="1"/>
    <col min="4354" max="4354" width="6.125" bestFit="1" customWidth="1"/>
    <col min="4355" max="4355" width="9.25" bestFit="1" customWidth="1"/>
    <col min="4356" max="4356" width="4.5" bestFit="1" customWidth="1"/>
    <col min="4357" max="4357" width="17.875" customWidth="1"/>
    <col min="4358" max="4358" width="17.375" bestFit="1" customWidth="1"/>
    <col min="4359" max="4360" width="4.375" bestFit="1" customWidth="1"/>
    <col min="4361" max="4361" width="6" bestFit="1" customWidth="1"/>
    <col min="4362" max="4362" width="8.625" bestFit="1" customWidth="1"/>
    <col min="4364" max="4387" width="7.875" customWidth="1"/>
    <col min="4388" max="4388" width="9.125" customWidth="1"/>
    <col min="4389" max="4389" width="7.625" bestFit="1" customWidth="1"/>
    <col min="4390" max="4390" width="29.5" bestFit="1" customWidth="1"/>
    <col min="4391" max="4391" width="9.25" bestFit="1" customWidth="1"/>
    <col min="4392" max="4392" width="3.625" customWidth="1"/>
    <col min="4393" max="4393" width="2.75" bestFit="1" customWidth="1"/>
    <col min="4394" max="4394" width="2.875" bestFit="1" customWidth="1"/>
    <col min="4609" max="4609" width="4.625" bestFit="1" customWidth="1"/>
    <col min="4610" max="4610" width="6.125" bestFit="1" customWidth="1"/>
    <col min="4611" max="4611" width="9.25" bestFit="1" customWidth="1"/>
    <col min="4612" max="4612" width="4.5" bestFit="1" customWidth="1"/>
    <col min="4613" max="4613" width="17.875" customWidth="1"/>
    <col min="4614" max="4614" width="17.375" bestFit="1" customWidth="1"/>
    <col min="4615" max="4616" width="4.375" bestFit="1" customWidth="1"/>
    <col min="4617" max="4617" width="6" bestFit="1" customWidth="1"/>
    <col min="4618" max="4618" width="8.625" bestFit="1" customWidth="1"/>
    <col min="4620" max="4643" width="7.875" customWidth="1"/>
    <col min="4644" max="4644" width="9.125" customWidth="1"/>
    <col min="4645" max="4645" width="7.625" bestFit="1" customWidth="1"/>
    <col min="4646" max="4646" width="29.5" bestFit="1" customWidth="1"/>
    <col min="4647" max="4647" width="9.25" bestFit="1" customWidth="1"/>
    <col min="4648" max="4648" width="3.625" customWidth="1"/>
    <col min="4649" max="4649" width="2.75" bestFit="1" customWidth="1"/>
    <col min="4650" max="4650" width="2.875" bestFit="1" customWidth="1"/>
    <col min="4865" max="4865" width="4.625" bestFit="1" customWidth="1"/>
    <col min="4866" max="4866" width="6.125" bestFit="1" customWidth="1"/>
    <col min="4867" max="4867" width="9.25" bestFit="1" customWidth="1"/>
    <col min="4868" max="4868" width="4.5" bestFit="1" customWidth="1"/>
    <col min="4869" max="4869" width="17.875" customWidth="1"/>
    <col min="4870" max="4870" width="17.375" bestFit="1" customWidth="1"/>
    <col min="4871" max="4872" width="4.375" bestFit="1" customWidth="1"/>
    <col min="4873" max="4873" width="6" bestFit="1" customWidth="1"/>
    <col min="4874" max="4874" width="8.625" bestFit="1" customWidth="1"/>
    <col min="4876" max="4899" width="7.875" customWidth="1"/>
    <col min="4900" max="4900" width="9.125" customWidth="1"/>
    <col min="4901" max="4901" width="7.625" bestFit="1" customWidth="1"/>
    <col min="4902" max="4902" width="29.5" bestFit="1" customWidth="1"/>
    <col min="4903" max="4903" width="9.25" bestFit="1" customWidth="1"/>
    <col min="4904" max="4904" width="3.625" customWidth="1"/>
    <col min="4905" max="4905" width="2.75" bestFit="1" customWidth="1"/>
    <col min="4906" max="4906" width="2.875" bestFit="1" customWidth="1"/>
    <col min="5121" max="5121" width="4.625" bestFit="1" customWidth="1"/>
    <col min="5122" max="5122" width="6.125" bestFit="1" customWidth="1"/>
    <col min="5123" max="5123" width="9.25" bestFit="1" customWidth="1"/>
    <col min="5124" max="5124" width="4.5" bestFit="1" customWidth="1"/>
    <col min="5125" max="5125" width="17.875" customWidth="1"/>
    <col min="5126" max="5126" width="17.375" bestFit="1" customWidth="1"/>
    <col min="5127" max="5128" width="4.375" bestFit="1" customWidth="1"/>
    <col min="5129" max="5129" width="6" bestFit="1" customWidth="1"/>
    <col min="5130" max="5130" width="8.625" bestFit="1" customWidth="1"/>
    <col min="5132" max="5155" width="7.875" customWidth="1"/>
    <col min="5156" max="5156" width="9.125" customWidth="1"/>
    <col min="5157" max="5157" width="7.625" bestFit="1" customWidth="1"/>
    <col min="5158" max="5158" width="29.5" bestFit="1" customWidth="1"/>
    <col min="5159" max="5159" width="9.25" bestFit="1" customWidth="1"/>
    <col min="5160" max="5160" width="3.625" customWidth="1"/>
    <col min="5161" max="5161" width="2.75" bestFit="1" customWidth="1"/>
    <col min="5162" max="5162" width="2.875" bestFit="1" customWidth="1"/>
    <col min="5377" max="5377" width="4.625" bestFit="1" customWidth="1"/>
    <col min="5378" max="5378" width="6.125" bestFit="1" customWidth="1"/>
    <col min="5379" max="5379" width="9.25" bestFit="1" customWidth="1"/>
    <col min="5380" max="5380" width="4.5" bestFit="1" customWidth="1"/>
    <col min="5381" max="5381" width="17.875" customWidth="1"/>
    <col min="5382" max="5382" width="17.375" bestFit="1" customWidth="1"/>
    <col min="5383" max="5384" width="4.375" bestFit="1" customWidth="1"/>
    <col min="5385" max="5385" width="6" bestFit="1" customWidth="1"/>
    <col min="5386" max="5386" width="8.625" bestFit="1" customWidth="1"/>
    <col min="5388" max="5411" width="7.875" customWidth="1"/>
    <col min="5412" max="5412" width="9.125" customWidth="1"/>
    <col min="5413" max="5413" width="7.625" bestFit="1" customWidth="1"/>
    <col min="5414" max="5414" width="29.5" bestFit="1" customWidth="1"/>
    <col min="5415" max="5415" width="9.25" bestFit="1" customWidth="1"/>
    <col min="5416" max="5416" width="3.625" customWidth="1"/>
    <col min="5417" max="5417" width="2.75" bestFit="1" customWidth="1"/>
    <col min="5418" max="5418" width="2.875" bestFit="1" customWidth="1"/>
    <col min="5633" max="5633" width="4.625" bestFit="1" customWidth="1"/>
    <col min="5634" max="5634" width="6.125" bestFit="1" customWidth="1"/>
    <col min="5635" max="5635" width="9.25" bestFit="1" customWidth="1"/>
    <col min="5636" max="5636" width="4.5" bestFit="1" customWidth="1"/>
    <col min="5637" max="5637" width="17.875" customWidth="1"/>
    <col min="5638" max="5638" width="17.375" bestFit="1" customWidth="1"/>
    <col min="5639" max="5640" width="4.375" bestFit="1" customWidth="1"/>
    <col min="5641" max="5641" width="6" bestFit="1" customWidth="1"/>
    <col min="5642" max="5642" width="8.625" bestFit="1" customWidth="1"/>
    <col min="5644" max="5667" width="7.875" customWidth="1"/>
    <col min="5668" max="5668" width="9.125" customWidth="1"/>
    <col min="5669" max="5669" width="7.625" bestFit="1" customWidth="1"/>
    <col min="5670" max="5670" width="29.5" bestFit="1" customWidth="1"/>
    <col min="5671" max="5671" width="9.25" bestFit="1" customWidth="1"/>
    <col min="5672" max="5672" width="3.625" customWidth="1"/>
    <col min="5673" max="5673" width="2.75" bestFit="1" customWidth="1"/>
    <col min="5674" max="5674" width="2.875" bestFit="1" customWidth="1"/>
    <col min="5889" max="5889" width="4.625" bestFit="1" customWidth="1"/>
    <col min="5890" max="5890" width="6.125" bestFit="1" customWidth="1"/>
    <col min="5891" max="5891" width="9.25" bestFit="1" customWidth="1"/>
    <col min="5892" max="5892" width="4.5" bestFit="1" customWidth="1"/>
    <col min="5893" max="5893" width="17.875" customWidth="1"/>
    <col min="5894" max="5894" width="17.375" bestFit="1" customWidth="1"/>
    <col min="5895" max="5896" width="4.375" bestFit="1" customWidth="1"/>
    <col min="5897" max="5897" width="6" bestFit="1" customWidth="1"/>
    <col min="5898" max="5898" width="8.625" bestFit="1" customWidth="1"/>
    <col min="5900" max="5923" width="7.875" customWidth="1"/>
    <col min="5924" max="5924" width="9.125" customWidth="1"/>
    <col min="5925" max="5925" width="7.625" bestFit="1" customWidth="1"/>
    <col min="5926" max="5926" width="29.5" bestFit="1" customWidth="1"/>
    <col min="5927" max="5927" width="9.25" bestFit="1" customWidth="1"/>
    <col min="5928" max="5928" width="3.625" customWidth="1"/>
    <col min="5929" max="5929" width="2.75" bestFit="1" customWidth="1"/>
    <col min="5930" max="5930" width="2.875" bestFit="1" customWidth="1"/>
    <col min="6145" max="6145" width="4.625" bestFit="1" customWidth="1"/>
    <col min="6146" max="6146" width="6.125" bestFit="1" customWidth="1"/>
    <col min="6147" max="6147" width="9.25" bestFit="1" customWidth="1"/>
    <col min="6148" max="6148" width="4.5" bestFit="1" customWidth="1"/>
    <col min="6149" max="6149" width="17.875" customWidth="1"/>
    <col min="6150" max="6150" width="17.375" bestFit="1" customWidth="1"/>
    <col min="6151" max="6152" width="4.375" bestFit="1" customWidth="1"/>
    <col min="6153" max="6153" width="6" bestFit="1" customWidth="1"/>
    <col min="6154" max="6154" width="8.625" bestFit="1" customWidth="1"/>
    <col min="6156" max="6179" width="7.875" customWidth="1"/>
    <col min="6180" max="6180" width="9.125" customWidth="1"/>
    <col min="6181" max="6181" width="7.625" bestFit="1" customWidth="1"/>
    <col min="6182" max="6182" width="29.5" bestFit="1" customWidth="1"/>
    <col min="6183" max="6183" width="9.25" bestFit="1" customWidth="1"/>
    <col min="6184" max="6184" width="3.625" customWidth="1"/>
    <col min="6185" max="6185" width="2.75" bestFit="1" customWidth="1"/>
    <col min="6186" max="6186" width="2.875" bestFit="1" customWidth="1"/>
    <col min="6401" max="6401" width="4.625" bestFit="1" customWidth="1"/>
    <col min="6402" max="6402" width="6.125" bestFit="1" customWidth="1"/>
    <col min="6403" max="6403" width="9.25" bestFit="1" customWidth="1"/>
    <col min="6404" max="6404" width="4.5" bestFit="1" customWidth="1"/>
    <col min="6405" max="6405" width="17.875" customWidth="1"/>
    <col min="6406" max="6406" width="17.375" bestFit="1" customWidth="1"/>
    <col min="6407" max="6408" width="4.375" bestFit="1" customWidth="1"/>
    <col min="6409" max="6409" width="6" bestFit="1" customWidth="1"/>
    <col min="6410" max="6410" width="8.625" bestFit="1" customWidth="1"/>
    <col min="6412" max="6435" width="7.875" customWidth="1"/>
    <col min="6436" max="6436" width="9.125" customWidth="1"/>
    <col min="6437" max="6437" width="7.625" bestFit="1" customWidth="1"/>
    <col min="6438" max="6438" width="29.5" bestFit="1" customWidth="1"/>
    <col min="6439" max="6439" width="9.25" bestFit="1" customWidth="1"/>
    <col min="6440" max="6440" width="3.625" customWidth="1"/>
    <col min="6441" max="6441" width="2.75" bestFit="1" customWidth="1"/>
    <col min="6442" max="6442" width="2.875" bestFit="1" customWidth="1"/>
    <col min="6657" max="6657" width="4.625" bestFit="1" customWidth="1"/>
    <col min="6658" max="6658" width="6.125" bestFit="1" customWidth="1"/>
    <col min="6659" max="6659" width="9.25" bestFit="1" customWidth="1"/>
    <col min="6660" max="6660" width="4.5" bestFit="1" customWidth="1"/>
    <col min="6661" max="6661" width="17.875" customWidth="1"/>
    <col min="6662" max="6662" width="17.375" bestFit="1" customWidth="1"/>
    <col min="6663" max="6664" width="4.375" bestFit="1" customWidth="1"/>
    <col min="6665" max="6665" width="6" bestFit="1" customWidth="1"/>
    <col min="6666" max="6666" width="8.625" bestFit="1" customWidth="1"/>
    <col min="6668" max="6691" width="7.875" customWidth="1"/>
    <col min="6692" max="6692" width="9.125" customWidth="1"/>
    <col min="6693" max="6693" width="7.625" bestFit="1" customWidth="1"/>
    <col min="6694" max="6694" width="29.5" bestFit="1" customWidth="1"/>
    <col min="6695" max="6695" width="9.25" bestFit="1" customWidth="1"/>
    <col min="6696" max="6696" width="3.625" customWidth="1"/>
    <col min="6697" max="6697" width="2.75" bestFit="1" customWidth="1"/>
    <col min="6698" max="6698" width="2.875" bestFit="1" customWidth="1"/>
    <col min="6913" max="6913" width="4.625" bestFit="1" customWidth="1"/>
    <col min="6914" max="6914" width="6.125" bestFit="1" customWidth="1"/>
    <col min="6915" max="6915" width="9.25" bestFit="1" customWidth="1"/>
    <col min="6916" max="6916" width="4.5" bestFit="1" customWidth="1"/>
    <col min="6917" max="6917" width="17.875" customWidth="1"/>
    <col min="6918" max="6918" width="17.375" bestFit="1" customWidth="1"/>
    <col min="6919" max="6920" width="4.375" bestFit="1" customWidth="1"/>
    <col min="6921" max="6921" width="6" bestFit="1" customWidth="1"/>
    <col min="6922" max="6922" width="8.625" bestFit="1" customWidth="1"/>
    <col min="6924" max="6947" width="7.875" customWidth="1"/>
    <col min="6948" max="6948" width="9.125" customWidth="1"/>
    <col min="6949" max="6949" width="7.625" bestFit="1" customWidth="1"/>
    <col min="6950" max="6950" width="29.5" bestFit="1" customWidth="1"/>
    <col min="6951" max="6951" width="9.25" bestFit="1" customWidth="1"/>
    <col min="6952" max="6952" width="3.625" customWidth="1"/>
    <col min="6953" max="6953" width="2.75" bestFit="1" customWidth="1"/>
    <col min="6954" max="6954" width="2.875" bestFit="1" customWidth="1"/>
    <col min="7169" max="7169" width="4.625" bestFit="1" customWidth="1"/>
    <col min="7170" max="7170" width="6.125" bestFit="1" customWidth="1"/>
    <col min="7171" max="7171" width="9.25" bestFit="1" customWidth="1"/>
    <col min="7172" max="7172" width="4.5" bestFit="1" customWidth="1"/>
    <col min="7173" max="7173" width="17.875" customWidth="1"/>
    <col min="7174" max="7174" width="17.375" bestFit="1" customWidth="1"/>
    <col min="7175" max="7176" width="4.375" bestFit="1" customWidth="1"/>
    <col min="7177" max="7177" width="6" bestFit="1" customWidth="1"/>
    <col min="7178" max="7178" width="8.625" bestFit="1" customWidth="1"/>
    <col min="7180" max="7203" width="7.875" customWidth="1"/>
    <col min="7204" max="7204" width="9.125" customWidth="1"/>
    <col min="7205" max="7205" width="7.625" bestFit="1" customWidth="1"/>
    <col min="7206" max="7206" width="29.5" bestFit="1" customWidth="1"/>
    <col min="7207" max="7207" width="9.25" bestFit="1" customWidth="1"/>
    <col min="7208" max="7208" width="3.625" customWidth="1"/>
    <col min="7209" max="7209" width="2.75" bestFit="1" customWidth="1"/>
    <col min="7210" max="7210" width="2.875" bestFit="1" customWidth="1"/>
    <col min="7425" max="7425" width="4.625" bestFit="1" customWidth="1"/>
    <col min="7426" max="7426" width="6.125" bestFit="1" customWidth="1"/>
    <col min="7427" max="7427" width="9.25" bestFit="1" customWidth="1"/>
    <col min="7428" max="7428" width="4.5" bestFit="1" customWidth="1"/>
    <col min="7429" max="7429" width="17.875" customWidth="1"/>
    <col min="7430" max="7430" width="17.375" bestFit="1" customWidth="1"/>
    <col min="7431" max="7432" width="4.375" bestFit="1" customWidth="1"/>
    <col min="7433" max="7433" width="6" bestFit="1" customWidth="1"/>
    <col min="7434" max="7434" width="8.625" bestFit="1" customWidth="1"/>
    <col min="7436" max="7459" width="7.875" customWidth="1"/>
    <col min="7460" max="7460" width="9.125" customWidth="1"/>
    <col min="7461" max="7461" width="7.625" bestFit="1" customWidth="1"/>
    <col min="7462" max="7462" width="29.5" bestFit="1" customWidth="1"/>
    <col min="7463" max="7463" width="9.25" bestFit="1" customWidth="1"/>
    <col min="7464" max="7464" width="3.625" customWidth="1"/>
    <col min="7465" max="7465" width="2.75" bestFit="1" customWidth="1"/>
    <col min="7466" max="7466" width="2.875" bestFit="1" customWidth="1"/>
    <col min="7681" max="7681" width="4.625" bestFit="1" customWidth="1"/>
    <col min="7682" max="7682" width="6.125" bestFit="1" customWidth="1"/>
    <col min="7683" max="7683" width="9.25" bestFit="1" customWidth="1"/>
    <col min="7684" max="7684" width="4.5" bestFit="1" customWidth="1"/>
    <col min="7685" max="7685" width="17.875" customWidth="1"/>
    <col min="7686" max="7686" width="17.375" bestFit="1" customWidth="1"/>
    <col min="7687" max="7688" width="4.375" bestFit="1" customWidth="1"/>
    <col min="7689" max="7689" width="6" bestFit="1" customWidth="1"/>
    <col min="7690" max="7690" width="8.625" bestFit="1" customWidth="1"/>
    <col min="7692" max="7715" width="7.875" customWidth="1"/>
    <col min="7716" max="7716" width="9.125" customWidth="1"/>
    <col min="7717" max="7717" width="7.625" bestFit="1" customWidth="1"/>
    <col min="7718" max="7718" width="29.5" bestFit="1" customWidth="1"/>
    <col min="7719" max="7719" width="9.25" bestFit="1" customWidth="1"/>
    <col min="7720" max="7720" width="3.625" customWidth="1"/>
    <col min="7721" max="7721" width="2.75" bestFit="1" customWidth="1"/>
    <col min="7722" max="7722" width="2.875" bestFit="1" customWidth="1"/>
    <col min="7937" max="7937" width="4.625" bestFit="1" customWidth="1"/>
    <col min="7938" max="7938" width="6.125" bestFit="1" customWidth="1"/>
    <col min="7939" max="7939" width="9.25" bestFit="1" customWidth="1"/>
    <col min="7940" max="7940" width="4.5" bestFit="1" customWidth="1"/>
    <col min="7941" max="7941" width="17.875" customWidth="1"/>
    <col min="7942" max="7942" width="17.375" bestFit="1" customWidth="1"/>
    <col min="7943" max="7944" width="4.375" bestFit="1" customWidth="1"/>
    <col min="7945" max="7945" width="6" bestFit="1" customWidth="1"/>
    <col min="7946" max="7946" width="8.625" bestFit="1" customWidth="1"/>
    <col min="7948" max="7971" width="7.875" customWidth="1"/>
    <col min="7972" max="7972" width="9.125" customWidth="1"/>
    <col min="7973" max="7973" width="7.625" bestFit="1" customWidth="1"/>
    <col min="7974" max="7974" width="29.5" bestFit="1" customWidth="1"/>
    <col min="7975" max="7975" width="9.25" bestFit="1" customWidth="1"/>
    <col min="7976" max="7976" width="3.625" customWidth="1"/>
    <col min="7977" max="7977" width="2.75" bestFit="1" customWidth="1"/>
    <col min="7978" max="7978" width="2.875" bestFit="1" customWidth="1"/>
    <col min="8193" max="8193" width="4.625" bestFit="1" customWidth="1"/>
    <col min="8194" max="8194" width="6.125" bestFit="1" customWidth="1"/>
    <col min="8195" max="8195" width="9.25" bestFit="1" customWidth="1"/>
    <col min="8196" max="8196" width="4.5" bestFit="1" customWidth="1"/>
    <col min="8197" max="8197" width="17.875" customWidth="1"/>
    <col min="8198" max="8198" width="17.375" bestFit="1" customWidth="1"/>
    <col min="8199" max="8200" width="4.375" bestFit="1" customWidth="1"/>
    <col min="8201" max="8201" width="6" bestFit="1" customWidth="1"/>
    <col min="8202" max="8202" width="8.625" bestFit="1" customWidth="1"/>
    <col min="8204" max="8227" width="7.875" customWidth="1"/>
    <col min="8228" max="8228" width="9.125" customWidth="1"/>
    <col min="8229" max="8229" width="7.625" bestFit="1" customWidth="1"/>
    <col min="8230" max="8230" width="29.5" bestFit="1" customWidth="1"/>
    <col min="8231" max="8231" width="9.25" bestFit="1" customWidth="1"/>
    <col min="8232" max="8232" width="3.625" customWidth="1"/>
    <col min="8233" max="8233" width="2.75" bestFit="1" customWidth="1"/>
    <col min="8234" max="8234" width="2.875" bestFit="1" customWidth="1"/>
    <col min="8449" max="8449" width="4.625" bestFit="1" customWidth="1"/>
    <col min="8450" max="8450" width="6.125" bestFit="1" customWidth="1"/>
    <col min="8451" max="8451" width="9.25" bestFit="1" customWidth="1"/>
    <col min="8452" max="8452" width="4.5" bestFit="1" customWidth="1"/>
    <col min="8453" max="8453" width="17.875" customWidth="1"/>
    <col min="8454" max="8454" width="17.375" bestFit="1" customWidth="1"/>
    <col min="8455" max="8456" width="4.375" bestFit="1" customWidth="1"/>
    <col min="8457" max="8457" width="6" bestFit="1" customWidth="1"/>
    <col min="8458" max="8458" width="8.625" bestFit="1" customWidth="1"/>
    <col min="8460" max="8483" width="7.875" customWidth="1"/>
    <col min="8484" max="8484" width="9.125" customWidth="1"/>
    <col min="8485" max="8485" width="7.625" bestFit="1" customWidth="1"/>
    <col min="8486" max="8486" width="29.5" bestFit="1" customWidth="1"/>
    <col min="8487" max="8487" width="9.25" bestFit="1" customWidth="1"/>
    <col min="8488" max="8488" width="3.625" customWidth="1"/>
    <col min="8489" max="8489" width="2.75" bestFit="1" customWidth="1"/>
    <col min="8490" max="8490" width="2.875" bestFit="1" customWidth="1"/>
    <col min="8705" max="8705" width="4.625" bestFit="1" customWidth="1"/>
    <col min="8706" max="8706" width="6.125" bestFit="1" customWidth="1"/>
    <col min="8707" max="8707" width="9.25" bestFit="1" customWidth="1"/>
    <col min="8708" max="8708" width="4.5" bestFit="1" customWidth="1"/>
    <col min="8709" max="8709" width="17.875" customWidth="1"/>
    <col min="8710" max="8710" width="17.375" bestFit="1" customWidth="1"/>
    <col min="8711" max="8712" width="4.375" bestFit="1" customWidth="1"/>
    <col min="8713" max="8713" width="6" bestFit="1" customWidth="1"/>
    <col min="8714" max="8714" width="8.625" bestFit="1" customWidth="1"/>
    <col min="8716" max="8739" width="7.875" customWidth="1"/>
    <col min="8740" max="8740" width="9.125" customWidth="1"/>
    <col min="8741" max="8741" width="7.625" bestFit="1" customWidth="1"/>
    <col min="8742" max="8742" width="29.5" bestFit="1" customWidth="1"/>
    <col min="8743" max="8743" width="9.25" bestFit="1" customWidth="1"/>
    <col min="8744" max="8744" width="3.625" customWidth="1"/>
    <col min="8745" max="8745" width="2.75" bestFit="1" customWidth="1"/>
    <col min="8746" max="8746" width="2.875" bestFit="1" customWidth="1"/>
    <col min="8961" max="8961" width="4.625" bestFit="1" customWidth="1"/>
    <col min="8962" max="8962" width="6.125" bestFit="1" customWidth="1"/>
    <col min="8963" max="8963" width="9.25" bestFit="1" customWidth="1"/>
    <col min="8964" max="8964" width="4.5" bestFit="1" customWidth="1"/>
    <col min="8965" max="8965" width="17.875" customWidth="1"/>
    <col min="8966" max="8966" width="17.375" bestFit="1" customWidth="1"/>
    <col min="8967" max="8968" width="4.375" bestFit="1" customWidth="1"/>
    <col min="8969" max="8969" width="6" bestFit="1" customWidth="1"/>
    <col min="8970" max="8970" width="8.625" bestFit="1" customWidth="1"/>
    <col min="8972" max="8995" width="7.875" customWidth="1"/>
    <col min="8996" max="8996" width="9.125" customWidth="1"/>
    <col min="8997" max="8997" width="7.625" bestFit="1" customWidth="1"/>
    <col min="8998" max="8998" width="29.5" bestFit="1" customWidth="1"/>
    <col min="8999" max="8999" width="9.25" bestFit="1" customWidth="1"/>
    <col min="9000" max="9000" width="3.625" customWidth="1"/>
    <col min="9001" max="9001" width="2.75" bestFit="1" customWidth="1"/>
    <col min="9002" max="9002" width="2.875" bestFit="1" customWidth="1"/>
    <col min="9217" max="9217" width="4.625" bestFit="1" customWidth="1"/>
    <col min="9218" max="9218" width="6.125" bestFit="1" customWidth="1"/>
    <col min="9219" max="9219" width="9.25" bestFit="1" customWidth="1"/>
    <col min="9220" max="9220" width="4.5" bestFit="1" customWidth="1"/>
    <col min="9221" max="9221" width="17.875" customWidth="1"/>
    <col min="9222" max="9222" width="17.375" bestFit="1" customWidth="1"/>
    <col min="9223" max="9224" width="4.375" bestFit="1" customWidth="1"/>
    <col min="9225" max="9225" width="6" bestFit="1" customWidth="1"/>
    <col min="9226" max="9226" width="8.625" bestFit="1" customWidth="1"/>
    <col min="9228" max="9251" width="7.875" customWidth="1"/>
    <col min="9252" max="9252" width="9.125" customWidth="1"/>
    <col min="9253" max="9253" width="7.625" bestFit="1" customWidth="1"/>
    <col min="9254" max="9254" width="29.5" bestFit="1" customWidth="1"/>
    <col min="9255" max="9255" width="9.25" bestFit="1" customWidth="1"/>
    <col min="9256" max="9256" width="3.625" customWidth="1"/>
    <col min="9257" max="9257" width="2.75" bestFit="1" customWidth="1"/>
    <col min="9258" max="9258" width="2.875" bestFit="1" customWidth="1"/>
    <col min="9473" max="9473" width="4.625" bestFit="1" customWidth="1"/>
    <col min="9474" max="9474" width="6.125" bestFit="1" customWidth="1"/>
    <col min="9475" max="9475" width="9.25" bestFit="1" customWidth="1"/>
    <col min="9476" max="9476" width="4.5" bestFit="1" customWidth="1"/>
    <col min="9477" max="9477" width="17.875" customWidth="1"/>
    <col min="9478" max="9478" width="17.375" bestFit="1" customWidth="1"/>
    <col min="9479" max="9480" width="4.375" bestFit="1" customWidth="1"/>
    <col min="9481" max="9481" width="6" bestFit="1" customWidth="1"/>
    <col min="9482" max="9482" width="8.625" bestFit="1" customWidth="1"/>
    <col min="9484" max="9507" width="7.875" customWidth="1"/>
    <col min="9508" max="9508" width="9.125" customWidth="1"/>
    <col min="9509" max="9509" width="7.625" bestFit="1" customWidth="1"/>
    <col min="9510" max="9510" width="29.5" bestFit="1" customWidth="1"/>
    <col min="9511" max="9511" width="9.25" bestFit="1" customWidth="1"/>
    <col min="9512" max="9512" width="3.625" customWidth="1"/>
    <col min="9513" max="9513" width="2.75" bestFit="1" customWidth="1"/>
    <col min="9514" max="9514" width="2.875" bestFit="1" customWidth="1"/>
    <col min="9729" max="9729" width="4.625" bestFit="1" customWidth="1"/>
    <col min="9730" max="9730" width="6.125" bestFit="1" customWidth="1"/>
    <col min="9731" max="9731" width="9.25" bestFit="1" customWidth="1"/>
    <col min="9732" max="9732" width="4.5" bestFit="1" customWidth="1"/>
    <col min="9733" max="9733" width="17.875" customWidth="1"/>
    <col min="9734" max="9734" width="17.375" bestFit="1" customWidth="1"/>
    <col min="9735" max="9736" width="4.375" bestFit="1" customWidth="1"/>
    <col min="9737" max="9737" width="6" bestFit="1" customWidth="1"/>
    <col min="9738" max="9738" width="8.625" bestFit="1" customWidth="1"/>
    <col min="9740" max="9763" width="7.875" customWidth="1"/>
    <col min="9764" max="9764" width="9.125" customWidth="1"/>
    <col min="9765" max="9765" width="7.625" bestFit="1" customWidth="1"/>
    <col min="9766" max="9766" width="29.5" bestFit="1" customWidth="1"/>
    <col min="9767" max="9767" width="9.25" bestFit="1" customWidth="1"/>
    <col min="9768" max="9768" width="3.625" customWidth="1"/>
    <col min="9769" max="9769" width="2.75" bestFit="1" customWidth="1"/>
    <col min="9770" max="9770" width="2.875" bestFit="1" customWidth="1"/>
    <col min="9985" max="9985" width="4.625" bestFit="1" customWidth="1"/>
    <col min="9986" max="9986" width="6.125" bestFit="1" customWidth="1"/>
    <col min="9987" max="9987" width="9.25" bestFit="1" customWidth="1"/>
    <col min="9988" max="9988" width="4.5" bestFit="1" customWidth="1"/>
    <col min="9989" max="9989" width="17.875" customWidth="1"/>
    <col min="9990" max="9990" width="17.375" bestFit="1" customWidth="1"/>
    <col min="9991" max="9992" width="4.375" bestFit="1" customWidth="1"/>
    <col min="9993" max="9993" width="6" bestFit="1" customWidth="1"/>
    <col min="9994" max="9994" width="8.625" bestFit="1" customWidth="1"/>
    <col min="9996" max="10019" width="7.875" customWidth="1"/>
    <col min="10020" max="10020" width="9.125" customWidth="1"/>
    <col min="10021" max="10021" width="7.625" bestFit="1" customWidth="1"/>
    <col min="10022" max="10022" width="29.5" bestFit="1" customWidth="1"/>
    <col min="10023" max="10023" width="9.25" bestFit="1" customWidth="1"/>
    <col min="10024" max="10024" width="3.625" customWidth="1"/>
    <col min="10025" max="10025" width="2.75" bestFit="1" customWidth="1"/>
    <col min="10026" max="10026" width="2.875" bestFit="1" customWidth="1"/>
    <col min="10241" max="10241" width="4.625" bestFit="1" customWidth="1"/>
    <col min="10242" max="10242" width="6.125" bestFit="1" customWidth="1"/>
    <col min="10243" max="10243" width="9.25" bestFit="1" customWidth="1"/>
    <col min="10244" max="10244" width="4.5" bestFit="1" customWidth="1"/>
    <col min="10245" max="10245" width="17.875" customWidth="1"/>
    <col min="10246" max="10246" width="17.375" bestFit="1" customWidth="1"/>
    <col min="10247" max="10248" width="4.375" bestFit="1" customWidth="1"/>
    <col min="10249" max="10249" width="6" bestFit="1" customWidth="1"/>
    <col min="10250" max="10250" width="8.625" bestFit="1" customWidth="1"/>
    <col min="10252" max="10275" width="7.875" customWidth="1"/>
    <col min="10276" max="10276" width="9.125" customWidth="1"/>
    <col min="10277" max="10277" width="7.625" bestFit="1" customWidth="1"/>
    <col min="10278" max="10278" width="29.5" bestFit="1" customWidth="1"/>
    <col min="10279" max="10279" width="9.25" bestFit="1" customWidth="1"/>
    <col min="10280" max="10280" width="3.625" customWidth="1"/>
    <col min="10281" max="10281" width="2.75" bestFit="1" customWidth="1"/>
    <col min="10282" max="10282" width="2.875" bestFit="1" customWidth="1"/>
    <col min="10497" max="10497" width="4.625" bestFit="1" customWidth="1"/>
    <col min="10498" max="10498" width="6.125" bestFit="1" customWidth="1"/>
    <col min="10499" max="10499" width="9.25" bestFit="1" customWidth="1"/>
    <col min="10500" max="10500" width="4.5" bestFit="1" customWidth="1"/>
    <col min="10501" max="10501" width="17.875" customWidth="1"/>
    <col min="10502" max="10502" width="17.375" bestFit="1" customWidth="1"/>
    <col min="10503" max="10504" width="4.375" bestFit="1" customWidth="1"/>
    <col min="10505" max="10505" width="6" bestFit="1" customWidth="1"/>
    <col min="10506" max="10506" width="8.625" bestFit="1" customWidth="1"/>
    <col min="10508" max="10531" width="7.875" customWidth="1"/>
    <col min="10532" max="10532" width="9.125" customWidth="1"/>
    <col min="10533" max="10533" width="7.625" bestFit="1" customWidth="1"/>
    <col min="10534" max="10534" width="29.5" bestFit="1" customWidth="1"/>
    <col min="10535" max="10535" width="9.25" bestFit="1" customWidth="1"/>
    <col min="10536" max="10536" width="3.625" customWidth="1"/>
    <col min="10537" max="10537" width="2.75" bestFit="1" customWidth="1"/>
    <col min="10538" max="10538" width="2.875" bestFit="1" customWidth="1"/>
    <col min="10753" max="10753" width="4.625" bestFit="1" customWidth="1"/>
    <col min="10754" max="10754" width="6.125" bestFit="1" customWidth="1"/>
    <col min="10755" max="10755" width="9.25" bestFit="1" customWidth="1"/>
    <col min="10756" max="10756" width="4.5" bestFit="1" customWidth="1"/>
    <col min="10757" max="10757" width="17.875" customWidth="1"/>
    <col min="10758" max="10758" width="17.375" bestFit="1" customWidth="1"/>
    <col min="10759" max="10760" width="4.375" bestFit="1" customWidth="1"/>
    <col min="10761" max="10761" width="6" bestFit="1" customWidth="1"/>
    <col min="10762" max="10762" width="8.625" bestFit="1" customWidth="1"/>
    <col min="10764" max="10787" width="7.875" customWidth="1"/>
    <col min="10788" max="10788" width="9.125" customWidth="1"/>
    <col min="10789" max="10789" width="7.625" bestFit="1" customWidth="1"/>
    <col min="10790" max="10790" width="29.5" bestFit="1" customWidth="1"/>
    <col min="10791" max="10791" width="9.25" bestFit="1" customWidth="1"/>
    <col min="10792" max="10792" width="3.625" customWidth="1"/>
    <col min="10793" max="10793" width="2.75" bestFit="1" customWidth="1"/>
    <col min="10794" max="10794" width="2.875" bestFit="1" customWidth="1"/>
    <col min="11009" max="11009" width="4.625" bestFit="1" customWidth="1"/>
    <col min="11010" max="11010" width="6.125" bestFit="1" customWidth="1"/>
    <col min="11011" max="11011" width="9.25" bestFit="1" customWidth="1"/>
    <col min="11012" max="11012" width="4.5" bestFit="1" customWidth="1"/>
    <col min="11013" max="11013" width="17.875" customWidth="1"/>
    <col min="11014" max="11014" width="17.375" bestFit="1" customWidth="1"/>
    <col min="11015" max="11016" width="4.375" bestFit="1" customWidth="1"/>
    <col min="11017" max="11017" width="6" bestFit="1" customWidth="1"/>
    <col min="11018" max="11018" width="8.625" bestFit="1" customWidth="1"/>
    <col min="11020" max="11043" width="7.875" customWidth="1"/>
    <col min="11044" max="11044" width="9.125" customWidth="1"/>
    <col min="11045" max="11045" width="7.625" bestFit="1" customWidth="1"/>
    <col min="11046" max="11046" width="29.5" bestFit="1" customWidth="1"/>
    <col min="11047" max="11047" width="9.25" bestFit="1" customWidth="1"/>
    <col min="11048" max="11048" width="3.625" customWidth="1"/>
    <col min="11049" max="11049" width="2.75" bestFit="1" customWidth="1"/>
    <col min="11050" max="11050" width="2.875" bestFit="1" customWidth="1"/>
    <col min="11265" max="11265" width="4.625" bestFit="1" customWidth="1"/>
    <col min="11266" max="11266" width="6.125" bestFit="1" customWidth="1"/>
    <col min="11267" max="11267" width="9.25" bestFit="1" customWidth="1"/>
    <col min="11268" max="11268" width="4.5" bestFit="1" customWidth="1"/>
    <col min="11269" max="11269" width="17.875" customWidth="1"/>
    <col min="11270" max="11270" width="17.375" bestFit="1" customWidth="1"/>
    <col min="11271" max="11272" width="4.375" bestFit="1" customWidth="1"/>
    <col min="11273" max="11273" width="6" bestFit="1" customWidth="1"/>
    <col min="11274" max="11274" width="8.625" bestFit="1" customWidth="1"/>
    <col min="11276" max="11299" width="7.875" customWidth="1"/>
    <col min="11300" max="11300" width="9.125" customWidth="1"/>
    <col min="11301" max="11301" width="7.625" bestFit="1" customWidth="1"/>
    <col min="11302" max="11302" width="29.5" bestFit="1" customWidth="1"/>
    <col min="11303" max="11303" width="9.25" bestFit="1" customWidth="1"/>
    <col min="11304" max="11304" width="3.625" customWidth="1"/>
    <col min="11305" max="11305" width="2.75" bestFit="1" customWidth="1"/>
    <col min="11306" max="11306" width="2.875" bestFit="1" customWidth="1"/>
    <col min="11521" max="11521" width="4.625" bestFit="1" customWidth="1"/>
    <col min="11522" max="11522" width="6.125" bestFit="1" customWidth="1"/>
    <col min="11523" max="11523" width="9.25" bestFit="1" customWidth="1"/>
    <col min="11524" max="11524" width="4.5" bestFit="1" customWidth="1"/>
    <col min="11525" max="11525" width="17.875" customWidth="1"/>
    <col min="11526" max="11526" width="17.375" bestFit="1" customWidth="1"/>
    <col min="11527" max="11528" width="4.375" bestFit="1" customWidth="1"/>
    <col min="11529" max="11529" width="6" bestFit="1" customWidth="1"/>
    <col min="11530" max="11530" width="8.625" bestFit="1" customWidth="1"/>
    <col min="11532" max="11555" width="7.875" customWidth="1"/>
    <col min="11556" max="11556" width="9.125" customWidth="1"/>
    <col min="11557" max="11557" width="7.625" bestFit="1" customWidth="1"/>
    <col min="11558" max="11558" width="29.5" bestFit="1" customWidth="1"/>
    <col min="11559" max="11559" width="9.25" bestFit="1" customWidth="1"/>
    <col min="11560" max="11560" width="3.625" customWidth="1"/>
    <col min="11561" max="11561" width="2.75" bestFit="1" customWidth="1"/>
    <col min="11562" max="11562" width="2.875" bestFit="1" customWidth="1"/>
    <col min="11777" max="11777" width="4.625" bestFit="1" customWidth="1"/>
    <col min="11778" max="11778" width="6.125" bestFit="1" customWidth="1"/>
    <col min="11779" max="11779" width="9.25" bestFit="1" customWidth="1"/>
    <col min="11780" max="11780" width="4.5" bestFit="1" customWidth="1"/>
    <col min="11781" max="11781" width="17.875" customWidth="1"/>
    <col min="11782" max="11782" width="17.375" bestFit="1" customWidth="1"/>
    <col min="11783" max="11784" width="4.375" bestFit="1" customWidth="1"/>
    <col min="11785" max="11785" width="6" bestFit="1" customWidth="1"/>
    <col min="11786" max="11786" width="8.625" bestFit="1" customWidth="1"/>
    <col min="11788" max="11811" width="7.875" customWidth="1"/>
    <col min="11812" max="11812" width="9.125" customWidth="1"/>
    <col min="11813" max="11813" width="7.625" bestFit="1" customWidth="1"/>
    <col min="11814" max="11814" width="29.5" bestFit="1" customWidth="1"/>
    <col min="11815" max="11815" width="9.25" bestFit="1" customWidth="1"/>
    <col min="11816" max="11816" width="3.625" customWidth="1"/>
    <col min="11817" max="11817" width="2.75" bestFit="1" customWidth="1"/>
    <col min="11818" max="11818" width="2.875" bestFit="1" customWidth="1"/>
    <col min="12033" max="12033" width="4.625" bestFit="1" customWidth="1"/>
    <col min="12034" max="12034" width="6.125" bestFit="1" customWidth="1"/>
    <col min="12035" max="12035" width="9.25" bestFit="1" customWidth="1"/>
    <col min="12036" max="12036" width="4.5" bestFit="1" customWidth="1"/>
    <col min="12037" max="12037" width="17.875" customWidth="1"/>
    <col min="12038" max="12038" width="17.375" bestFit="1" customWidth="1"/>
    <col min="12039" max="12040" width="4.375" bestFit="1" customWidth="1"/>
    <col min="12041" max="12041" width="6" bestFit="1" customWidth="1"/>
    <col min="12042" max="12042" width="8.625" bestFit="1" customWidth="1"/>
    <col min="12044" max="12067" width="7.875" customWidth="1"/>
    <col min="12068" max="12068" width="9.125" customWidth="1"/>
    <col min="12069" max="12069" width="7.625" bestFit="1" customWidth="1"/>
    <col min="12070" max="12070" width="29.5" bestFit="1" customWidth="1"/>
    <col min="12071" max="12071" width="9.25" bestFit="1" customWidth="1"/>
    <col min="12072" max="12072" width="3.625" customWidth="1"/>
    <col min="12073" max="12073" width="2.75" bestFit="1" customWidth="1"/>
    <col min="12074" max="12074" width="2.875" bestFit="1" customWidth="1"/>
    <col min="12289" max="12289" width="4.625" bestFit="1" customWidth="1"/>
    <col min="12290" max="12290" width="6.125" bestFit="1" customWidth="1"/>
    <col min="12291" max="12291" width="9.25" bestFit="1" customWidth="1"/>
    <col min="12292" max="12292" width="4.5" bestFit="1" customWidth="1"/>
    <col min="12293" max="12293" width="17.875" customWidth="1"/>
    <col min="12294" max="12294" width="17.375" bestFit="1" customWidth="1"/>
    <col min="12295" max="12296" width="4.375" bestFit="1" customWidth="1"/>
    <col min="12297" max="12297" width="6" bestFit="1" customWidth="1"/>
    <col min="12298" max="12298" width="8.625" bestFit="1" customWidth="1"/>
    <col min="12300" max="12323" width="7.875" customWidth="1"/>
    <col min="12324" max="12324" width="9.125" customWidth="1"/>
    <col min="12325" max="12325" width="7.625" bestFit="1" customWidth="1"/>
    <col min="12326" max="12326" width="29.5" bestFit="1" customWidth="1"/>
    <col min="12327" max="12327" width="9.25" bestFit="1" customWidth="1"/>
    <col min="12328" max="12328" width="3.625" customWidth="1"/>
    <col min="12329" max="12329" width="2.75" bestFit="1" customWidth="1"/>
    <col min="12330" max="12330" width="2.875" bestFit="1" customWidth="1"/>
    <col min="12545" max="12545" width="4.625" bestFit="1" customWidth="1"/>
    <col min="12546" max="12546" width="6.125" bestFit="1" customWidth="1"/>
    <col min="12547" max="12547" width="9.25" bestFit="1" customWidth="1"/>
    <col min="12548" max="12548" width="4.5" bestFit="1" customWidth="1"/>
    <col min="12549" max="12549" width="17.875" customWidth="1"/>
    <col min="12550" max="12550" width="17.375" bestFit="1" customWidth="1"/>
    <col min="12551" max="12552" width="4.375" bestFit="1" customWidth="1"/>
    <col min="12553" max="12553" width="6" bestFit="1" customWidth="1"/>
    <col min="12554" max="12554" width="8.625" bestFit="1" customWidth="1"/>
    <col min="12556" max="12579" width="7.875" customWidth="1"/>
    <col min="12580" max="12580" width="9.125" customWidth="1"/>
    <col min="12581" max="12581" width="7.625" bestFit="1" customWidth="1"/>
    <col min="12582" max="12582" width="29.5" bestFit="1" customWidth="1"/>
    <col min="12583" max="12583" width="9.25" bestFit="1" customWidth="1"/>
    <col min="12584" max="12584" width="3.625" customWidth="1"/>
    <col min="12585" max="12585" width="2.75" bestFit="1" customWidth="1"/>
    <col min="12586" max="12586" width="2.875" bestFit="1" customWidth="1"/>
    <col min="12801" max="12801" width="4.625" bestFit="1" customWidth="1"/>
    <col min="12802" max="12802" width="6.125" bestFit="1" customWidth="1"/>
    <col min="12803" max="12803" width="9.25" bestFit="1" customWidth="1"/>
    <col min="12804" max="12804" width="4.5" bestFit="1" customWidth="1"/>
    <col min="12805" max="12805" width="17.875" customWidth="1"/>
    <col min="12806" max="12806" width="17.375" bestFit="1" customWidth="1"/>
    <col min="12807" max="12808" width="4.375" bestFit="1" customWidth="1"/>
    <col min="12809" max="12809" width="6" bestFit="1" customWidth="1"/>
    <col min="12810" max="12810" width="8.625" bestFit="1" customWidth="1"/>
    <col min="12812" max="12835" width="7.875" customWidth="1"/>
    <col min="12836" max="12836" width="9.125" customWidth="1"/>
    <col min="12837" max="12837" width="7.625" bestFit="1" customWidth="1"/>
    <col min="12838" max="12838" width="29.5" bestFit="1" customWidth="1"/>
    <col min="12839" max="12839" width="9.25" bestFit="1" customWidth="1"/>
    <col min="12840" max="12840" width="3.625" customWidth="1"/>
    <col min="12841" max="12841" width="2.75" bestFit="1" customWidth="1"/>
    <col min="12842" max="12842" width="2.875" bestFit="1" customWidth="1"/>
    <col min="13057" max="13057" width="4.625" bestFit="1" customWidth="1"/>
    <col min="13058" max="13058" width="6.125" bestFit="1" customWidth="1"/>
    <col min="13059" max="13059" width="9.25" bestFit="1" customWidth="1"/>
    <col min="13060" max="13060" width="4.5" bestFit="1" customWidth="1"/>
    <col min="13061" max="13061" width="17.875" customWidth="1"/>
    <col min="13062" max="13062" width="17.375" bestFit="1" customWidth="1"/>
    <col min="13063" max="13064" width="4.375" bestFit="1" customWidth="1"/>
    <col min="13065" max="13065" width="6" bestFit="1" customWidth="1"/>
    <col min="13066" max="13066" width="8.625" bestFit="1" customWidth="1"/>
    <col min="13068" max="13091" width="7.875" customWidth="1"/>
    <col min="13092" max="13092" width="9.125" customWidth="1"/>
    <col min="13093" max="13093" width="7.625" bestFit="1" customWidth="1"/>
    <col min="13094" max="13094" width="29.5" bestFit="1" customWidth="1"/>
    <col min="13095" max="13095" width="9.25" bestFit="1" customWidth="1"/>
    <col min="13096" max="13096" width="3.625" customWidth="1"/>
    <col min="13097" max="13097" width="2.75" bestFit="1" customWidth="1"/>
    <col min="13098" max="13098" width="2.875" bestFit="1" customWidth="1"/>
    <col min="13313" max="13313" width="4.625" bestFit="1" customWidth="1"/>
    <col min="13314" max="13314" width="6.125" bestFit="1" customWidth="1"/>
    <col min="13315" max="13315" width="9.25" bestFit="1" customWidth="1"/>
    <col min="13316" max="13316" width="4.5" bestFit="1" customWidth="1"/>
    <col min="13317" max="13317" width="17.875" customWidth="1"/>
    <col min="13318" max="13318" width="17.375" bestFit="1" customWidth="1"/>
    <col min="13319" max="13320" width="4.375" bestFit="1" customWidth="1"/>
    <col min="13321" max="13321" width="6" bestFit="1" customWidth="1"/>
    <col min="13322" max="13322" width="8.625" bestFit="1" customWidth="1"/>
    <col min="13324" max="13347" width="7.875" customWidth="1"/>
    <col min="13348" max="13348" width="9.125" customWidth="1"/>
    <col min="13349" max="13349" width="7.625" bestFit="1" customWidth="1"/>
    <col min="13350" max="13350" width="29.5" bestFit="1" customWidth="1"/>
    <col min="13351" max="13351" width="9.25" bestFit="1" customWidth="1"/>
    <col min="13352" max="13352" width="3.625" customWidth="1"/>
    <col min="13353" max="13353" width="2.75" bestFit="1" customWidth="1"/>
    <col min="13354" max="13354" width="2.875" bestFit="1" customWidth="1"/>
    <col min="13569" max="13569" width="4.625" bestFit="1" customWidth="1"/>
    <col min="13570" max="13570" width="6.125" bestFit="1" customWidth="1"/>
    <col min="13571" max="13571" width="9.25" bestFit="1" customWidth="1"/>
    <col min="13572" max="13572" width="4.5" bestFit="1" customWidth="1"/>
    <col min="13573" max="13573" width="17.875" customWidth="1"/>
    <col min="13574" max="13574" width="17.375" bestFit="1" customWidth="1"/>
    <col min="13575" max="13576" width="4.375" bestFit="1" customWidth="1"/>
    <col min="13577" max="13577" width="6" bestFit="1" customWidth="1"/>
    <col min="13578" max="13578" width="8.625" bestFit="1" customWidth="1"/>
    <col min="13580" max="13603" width="7.875" customWidth="1"/>
    <col min="13604" max="13604" width="9.125" customWidth="1"/>
    <col min="13605" max="13605" width="7.625" bestFit="1" customWidth="1"/>
    <col min="13606" max="13606" width="29.5" bestFit="1" customWidth="1"/>
    <col min="13607" max="13607" width="9.25" bestFit="1" customWidth="1"/>
    <col min="13608" max="13608" width="3.625" customWidth="1"/>
    <col min="13609" max="13609" width="2.75" bestFit="1" customWidth="1"/>
    <col min="13610" max="13610" width="2.875" bestFit="1" customWidth="1"/>
    <col min="13825" max="13825" width="4.625" bestFit="1" customWidth="1"/>
    <col min="13826" max="13826" width="6.125" bestFit="1" customWidth="1"/>
    <col min="13827" max="13827" width="9.25" bestFit="1" customWidth="1"/>
    <col min="13828" max="13828" width="4.5" bestFit="1" customWidth="1"/>
    <col min="13829" max="13829" width="17.875" customWidth="1"/>
    <col min="13830" max="13830" width="17.375" bestFit="1" customWidth="1"/>
    <col min="13831" max="13832" width="4.375" bestFit="1" customWidth="1"/>
    <col min="13833" max="13833" width="6" bestFit="1" customWidth="1"/>
    <col min="13834" max="13834" width="8.625" bestFit="1" customWidth="1"/>
    <col min="13836" max="13859" width="7.875" customWidth="1"/>
    <col min="13860" max="13860" width="9.125" customWidth="1"/>
    <col min="13861" max="13861" width="7.625" bestFit="1" customWidth="1"/>
    <col min="13862" max="13862" width="29.5" bestFit="1" customWidth="1"/>
    <col min="13863" max="13863" width="9.25" bestFit="1" customWidth="1"/>
    <col min="13864" max="13864" width="3.625" customWidth="1"/>
    <col min="13865" max="13865" width="2.75" bestFit="1" customWidth="1"/>
    <col min="13866" max="13866" width="2.875" bestFit="1" customWidth="1"/>
    <col min="14081" max="14081" width="4.625" bestFit="1" customWidth="1"/>
    <col min="14082" max="14082" width="6.125" bestFit="1" customWidth="1"/>
    <col min="14083" max="14083" width="9.25" bestFit="1" customWidth="1"/>
    <col min="14084" max="14084" width="4.5" bestFit="1" customWidth="1"/>
    <col min="14085" max="14085" width="17.875" customWidth="1"/>
    <col min="14086" max="14086" width="17.375" bestFit="1" customWidth="1"/>
    <col min="14087" max="14088" width="4.375" bestFit="1" customWidth="1"/>
    <col min="14089" max="14089" width="6" bestFit="1" customWidth="1"/>
    <col min="14090" max="14090" width="8.625" bestFit="1" customWidth="1"/>
    <col min="14092" max="14115" width="7.875" customWidth="1"/>
    <col min="14116" max="14116" width="9.125" customWidth="1"/>
    <col min="14117" max="14117" width="7.625" bestFit="1" customWidth="1"/>
    <col min="14118" max="14118" width="29.5" bestFit="1" customWidth="1"/>
    <col min="14119" max="14119" width="9.25" bestFit="1" customWidth="1"/>
    <col min="14120" max="14120" width="3.625" customWidth="1"/>
    <col min="14121" max="14121" width="2.75" bestFit="1" customWidth="1"/>
    <col min="14122" max="14122" width="2.875" bestFit="1" customWidth="1"/>
    <col min="14337" max="14337" width="4.625" bestFit="1" customWidth="1"/>
    <col min="14338" max="14338" width="6.125" bestFit="1" customWidth="1"/>
    <col min="14339" max="14339" width="9.25" bestFit="1" customWidth="1"/>
    <col min="14340" max="14340" width="4.5" bestFit="1" customWidth="1"/>
    <col min="14341" max="14341" width="17.875" customWidth="1"/>
    <col min="14342" max="14342" width="17.375" bestFit="1" customWidth="1"/>
    <col min="14343" max="14344" width="4.375" bestFit="1" customWidth="1"/>
    <col min="14345" max="14345" width="6" bestFit="1" customWidth="1"/>
    <col min="14346" max="14346" width="8.625" bestFit="1" customWidth="1"/>
    <col min="14348" max="14371" width="7.875" customWidth="1"/>
    <col min="14372" max="14372" width="9.125" customWidth="1"/>
    <col min="14373" max="14373" width="7.625" bestFit="1" customWidth="1"/>
    <col min="14374" max="14374" width="29.5" bestFit="1" customWidth="1"/>
    <col min="14375" max="14375" width="9.25" bestFit="1" customWidth="1"/>
    <col min="14376" max="14376" width="3.625" customWidth="1"/>
    <col min="14377" max="14377" width="2.75" bestFit="1" customWidth="1"/>
    <col min="14378" max="14378" width="2.875" bestFit="1" customWidth="1"/>
    <col min="14593" max="14593" width="4.625" bestFit="1" customWidth="1"/>
    <col min="14594" max="14594" width="6.125" bestFit="1" customWidth="1"/>
    <col min="14595" max="14595" width="9.25" bestFit="1" customWidth="1"/>
    <col min="14596" max="14596" width="4.5" bestFit="1" customWidth="1"/>
    <col min="14597" max="14597" width="17.875" customWidth="1"/>
    <col min="14598" max="14598" width="17.375" bestFit="1" customWidth="1"/>
    <col min="14599" max="14600" width="4.375" bestFit="1" customWidth="1"/>
    <col min="14601" max="14601" width="6" bestFit="1" customWidth="1"/>
    <col min="14602" max="14602" width="8.625" bestFit="1" customWidth="1"/>
    <col min="14604" max="14627" width="7.875" customWidth="1"/>
    <col min="14628" max="14628" width="9.125" customWidth="1"/>
    <col min="14629" max="14629" width="7.625" bestFit="1" customWidth="1"/>
    <col min="14630" max="14630" width="29.5" bestFit="1" customWidth="1"/>
    <col min="14631" max="14631" width="9.25" bestFit="1" customWidth="1"/>
    <col min="14632" max="14632" width="3.625" customWidth="1"/>
    <col min="14633" max="14633" width="2.75" bestFit="1" customWidth="1"/>
    <col min="14634" max="14634" width="2.875" bestFit="1" customWidth="1"/>
    <col min="14849" max="14849" width="4.625" bestFit="1" customWidth="1"/>
    <col min="14850" max="14850" width="6.125" bestFit="1" customWidth="1"/>
    <col min="14851" max="14851" width="9.25" bestFit="1" customWidth="1"/>
    <col min="14852" max="14852" width="4.5" bestFit="1" customWidth="1"/>
    <col min="14853" max="14853" width="17.875" customWidth="1"/>
    <col min="14854" max="14854" width="17.375" bestFit="1" customWidth="1"/>
    <col min="14855" max="14856" width="4.375" bestFit="1" customWidth="1"/>
    <col min="14857" max="14857" width="6" bestFit="1" customWidth="1"/>
    <col min="14858" max="14858" width="8.625" bestFit="1" customWidth="1"/>
    <col min="14860" max="14883" width="7.875" customWidth="1"/>
    <col min="14884" max="14884" width="9.125" customWidth="1"/>
    <col min="14885" max="14885" width="7.625" bestFit="1" customWidth="1"/>
    <col min="14886" max="14886" width="29.5" bestFit="1" customWidth="1"/>
    <col min="14887" max="14887" width="9.25" bestFit="1" customWidth="1"/>
    <col min="14888" max="14888" width="3.625" customWidth="1"/>
    <col min="14889" max="14889" width="2.75" bestFit="1" customWidth="1"/>
    <col min="14890" max="14890" width="2.875" bestFit="1" customWidth="1"/>
    <col min="15105" max="15105" width="4.625" bestFit="1" customWidth="1"/>
    <col min="15106" max="15106" width="6.125" bestFit="1" customWidth="1"/>
    <col min="15107" max="15107" width="9.25" bestFit="1" customWidth="1"/>
    <col min="15108" max="15108" width="4.5" bestFit="1" customWidth="1"/>
    <col min="15109" max="15109" width="17.875" customWidth="1"/>
    <col min="15110" max="15110" width="17.375" bestFit="1" customWidth="1"/>
    <col min="15111" max="15112" width="4.375" bestFit="1" customWidth="1"/>
    <col min="15113" max="15113" width="6" bestFit="1" customWidth="1"/>
    <col min="15114" max="15114" width="8.625" bestFit="1" customWidth="1"/>
    <col min="15116" max="15139" width="7.875" customWidth="1"/>
    <col min="15140" max="15140" width="9.125" customWidth="1"/>
    <col min="15141" max="15141" width="7.625" bestFit="1" customWidth="1"/>
    <col min="15142" max="15142" width="29.5" bestFit="1" customWidth="1"/>
    <col min="15143" max="15143" width="9.25" bestFit="1" customWidth="1"/>
    <col min="15144" max="15144" width="3.625" customWidth="1"/>
    <col min="15145" max="15145" width="2.75" bestFit="1" customWidth="1"/>
    <col min="15146" max="15146" width="2.875" bestFit="1" customWidth="1"/>
    <col min="15361" max="15361" width="4.625" bestFit="1" customWidth="1"/>
    <col min="15362" max="15362" width="6.125" bestFit="1" customWidth="1"/>
    <col min="15363" max="15363" width="9.25" bestFit="1" customWidth="1"/>
    <col min="15364" max="15364" width="4.5" bestFit="1" customWidth="1"/>
    <col min="15365" max="15365" width="17.875" customWidth="1"/>
    <col min="15366" max="15366" width="17.375" bestFit="1" customWidth="1"/>
    <col min="15367" max="15368" width="4.375" bestFit="1" customWidth="1"/>
    <col min="15369" max="15369" width="6" bestFit="1" customWidth="1"/>
    <col min="15370" max="15370" width="8.625" bestFit="1" customWidth="1"/>
    <col min="15372" max="15395" width="7.875" customWidth="1"/>
    <col min="15396" max="15396" width="9.125" customWidth="1"/>
    <col min="15397" max="15397" width="7.625" bestFit="1" customWidth="1"/>
    <col min="15398" max="15398" width="29.5" bestFit="1" customWidth="1"/>
    <col min="15399" max="15399" width="9.25" bestFit="1" customWidth="1"/>
    <col min="15400" max="15400" width="3.625" customWidth="1"/>
    <col min="15401" max="15401" width="2.75" bestFit="1" customWidth="1"/>
    <col min="15402" max="15402" width="2.875" bestFit="1" customWidth="1"/>
    <col min="15617" max="15617" width="4.625" bestFit="1" customWidth="1"/>
    <col min="15618" max="15618" width="6.125" bestFit="1" customWidth="1"/>
    <col min="15619" max="15619" width="9.25" bestFit="1" customWidth="1"/>
    <col min="15620" max="15620" width="4.5" bestFit="1" customWidth="1"/>
    <col min="15621" max="15621" width="17.875" customWidth="1"/>
    <col min="15622" max="15622" width="17.375" bestFit="1" customWidth="1"/>
    <col min="15623" max="15624" width="4.375" bestFit="1" customWidth="1"/>
    <col min="15625" max="15625" width="6" bestFit="1" customWidth="1"/>
    <col min="15626" max="15626" width="8.625" bestFit="1" customWidth="1"/>
    <col min="15628" max="15651" width="7.875" customWidth="1"/>
    <col min="15652" max="15652" width="9.125" customWidth="1"/>
    <col min="15653" max="15653" width="7.625" bestFit="1" customWidth="1"/>
    <col min="15654" max="15654" width="29.5" bestFit="1" customWidth="1"/>
    <col min="15655" max="15655" width="9.25" bestFit="1" customWidth="1"/>
    <col min="15656" max="15656" width="3.625" customWidth="1"/>
    <col min="15657" max="15657" width="2.75" bestFit="1" customWidth="1"/>
    <col min="15658" max="15658" width="2.875" bestFit="1" customWidth="1"/>
    <col min="15873" max="15873" width="4.625" bestFit="1" customWidth="1"/>
    <col min="15874" max="15874" width="6.125" bestFit="1" customWidth="1"/>
    <col min="15875" max="15875" width="9.25" bestFit="1" customWidth="1"/>
    <col min="15876" max="15876" width="4.5" bestFit="1" customWidth="1"/>
    <col min="15877" max="15877" width="17.875" customWidth="1"/>
    <col min="15878" max="15878" width="17.375" bestFit="1" customWidth="1"/>
    <col min="15879" max="15880" width="4.375" bestFit="1" customWidth="1"/>
    <col min="15881" max="15881" width="6" bestFit="1" customWidth="1"/>
    <col min="15882" max="15882" width="8.625" bestFit="1" customWidth="1"/>
    <col min="15884" max="15907" width="7.875" customWidth="1"/>
    <col min="15908" max="15908" width="9.125" customWidth="1"/>
    <col min="15909" max="15909" width="7.625" bestFit="1" customWidth="1"/>
    <col min="15910" max="15910" width="29.5" bestFit="1" customWidth="1"/>
    <col min="15911" max="15911" width="9.25" bestFit="1" customWidth="1"/>
    <col min="15912" max="15912" width="3.625" customWidth="1"/>
    <col min="15913" max="15913" width="2.75" bestFit="1" customWidth="1"/>
    <col min="15914" max="15914" width="2.875" bestFit="1" customWidth="1"/>
    <col min="16129" max="16129" width="4.625" bestFit="1" customWidth="1"/>
    <col min="16130" max="16130" width="6.125" bestFit="1" customWidth="1"/>
    <col min="16131" max="16131" width="9.25" bestFit="1" customWidth="1"/>
    <col min="16132" max="16132" width="4.5" bestFit="1" customWidth="1"/>
    <col min="16133" max="16133" width="17.875" customWidth="1"/>
    <col min="16134" max="16134" width="17.375" bestFit="1" customWidth="1"/>
    <col min="16135" max="16136" width="4.375" bestFit="1" customWidth="1"/>
    <col min="16137" max="16137" width="6" bestFit="1" customWidth="1"/>
    <col min="16138" max="16138" width="8.625" bestFit="1" customWidth="1"/>
    <col min="16140" max="16163" width="7.875" customWidth="1"/>
    <col min="16164" max="16164" width="9.125" customWidth="1"/>
    <col min="16165" max="16165" width="7.625" bestFit="1" customWidth="1"/>
    <col min="16166" max="16166" width="29.5" bestFit="1" customWidth="1"/>
    <col min="16167" max="16167" width="9.25" bestFit="1" customWidth="1"/>
    <col min="16168" max="16168" width="3.625" customWidth="1"/>
    <col min="16169" max="16169" width="2.75" bestFit="1" customWidth="1"/>
    <col min="16170" max="16170" width="2.875" bestFit="1" customWidth="1"/>
  </cols>
  <sheetData>
    <row r="1" spans="1:44" ht="28.5">
      <c r="E1" s="195" t="s">
        <v>1045</v>
      </c>
    </row>
    <row r="2" spans="1:44">
      <c r="A2" s="173" t="s">
        <v>732</v>
      </c>
      <c r="B2" s="174" t="s">
        <v>990</v>
      </c>
      <c r="C2" s="173" t="s">
        <v>733</v>
      </c>
      <c r="D2" s="173" t="s">
        <v>0</v>
      </c>
      <c r="E2" s="173" t="s">
        <v>734</v>
      </c>
      <c r="F2" s="173" t="s">
        <v>1</v>
      </c>
      <c r="G2" s="173" t="s">
        <v>2</v>
      </c>
      <c r="H2" s="173" t="s">
        <v>3</v>
      </c>
      <c r="I2" s="173" t="s">
        <v>4</v>
      </c>
      <c r="J2" s="173" t="s">
        <v>5</v>
      </c>
      <c r="K2" s="173" t="s">
        <v>262</v>
      </c>
      <c r="L2" s="173" t="s">
        <v>735</v>
      </c>
      <c r="M2" s="173">
        <v>50</v>
      </c>
      <c r="N2" s="173">
        <v>51</v>
      </c>
      <c r="O2" s="173">
        <v>52</v>
      </c>
      <c r="P2" s="173">
        <v>53</v>
      </c>
      <c r="Q2" s="173">
        <v>54</v>
      </c>
      <c r="R2" s="173">
        <v>55</v>
      </c>
      <c r="S2" s="173">
        <v>56</v>
      </c>
      <c r="T2" s="173">
        <v>57</v>
      </c>
      <c r="U2" s="173">
        <v>58</v>
      </c>
      <c r="V2" s="173">
        <v>59</v>
      </c>
      <c r="W2" s="173">
        <v>60</v>
      </c>
      <c r="X2" s="173">
        <v>61</v>
      </c>
      <c r="Y2" s="173">
        <v>62</v>
      </c>
      <c r="Z2" s="173">
        <v>63</v>
      </c>
      <c r="AA2" s="173" t="s">
        <v>736</v>
      </c>
      <c r="AB2" s="173">
        <v>2</v>
      </c>
      <c r="AC2" s="173">
        <v>3</v>
      </c>
      <c r="AD2" s="173">
        <v>4</v>
      </c>
      <c r="AE2" s="173">
        <v>5</v>
      </c>
      <c r="AF2" s="175" t="s">
        <v>737</v>
      </c>
      <c r="AG2" s="173">
        <v>7</v>
      </c>
      <c r="AH2" s="173">
        <v>8</v>
      </c>
      <c r="AI2" s="173">
        <v>9</v>
      </c>
      <c r="AJ2" s="197" t="s">
        <v>738</v>
      </c>
      <c r="AK2" s="173" t="s">
        <v>739</v>
      </c>
      <c r="AL2" s="173" t="s">
        <v>740</v>
      </c>
      <c r="AM2" s="176" t="s">
        <v>741</v>
      </c>
      <c r="AN2" s="173" t="s">
        <v>1046</v>
      </c>
      <c r="AO2" s="177"/>
      <c r="AP2" s="177"/>
      <c r="AQ2" s="178" t="s">
        <v>992</v>
      </c>
      <c r="AR2" s="179" t="s">
        <v>993</v>
      </c>
    </row>
    <row r="3" spans="1:44" s="203" customFormat="1">
      <c r="A3" s="177"/>
      <c r="B3" s="198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99"/>
      <c r="AG3" s="177"/>
      <c r="AH3" s="177"/>
      <c r="AI3" s="177"/>
      <c r="AJ3" s="200"/>
      <c r="AK3" s="177"/>
      <c r="AL3" s="177"/>
      <c r="AM3" s="177"/>
      <c r="AN3" s="177"/>
      <c r="AO3" s="177"/>
      <c r="AP3" s="177"/>
      <c r="AQ3" s="201"/>
      <c r="AR3" s="202"/>
    </row>
    <row r="4" spans="1:44">
      <c r="A4" s="173">
        <v>101</v>
      </c>
      <c r="B4" s="174"/>
      <c r="C4" s="173" t="s">
        <v>742</v>
      </c>
      <c r="D4" s="173" t="s">
        <v>6</v>
      </c>
      <c r="E4" s="173" t="s">
        <v>7</v>
      </c>
      <c r="F4" s="173" t="s">
        <v>8</v>
      </c>
      <c r="G4" s="173" t="s">
        <v>9</v>
      </c>
      <c r="H4" s="173" t="s">
        <v>10</v>
      </c>
      <c r="I4" s="173" t="s">
        <v>743</v>
      </c>
      <c r="J4" s="173" t="s">
        <v>11</v>
      </c>
      <c r="K4" s="173" t="s">
        <v>263</v>
      </c>
      <c r="L4" s="173"/>
      <c r="M4" s="177"/>
      <c r="N4" s="185">
        <v>1.3</v>
      </c>
      <c r="O4" s="185">
        <v>-4.7</v>
      </c>
      <c r="P4" s="185">
        <v>15</v>
      </c>
      <c r="Q4" s="185">
        <v>6.6</v>
      </c>
      <c r="R4" s="185">
        <v>2.5</v>
      </c>
      <c r="S4" s="185">
        <v>-1.9</v>
      </c>
      <c r="T4" s="185">
        <v>4.0999999999999996</v>
      </c>
      <c r="U4" s="185">
        <v>1.9</v>
      </c>
      <c r="V4" s="185">
        <v>2.5</v>
      </c>
      <c r="W4" s="185">
        <v>13.1</v>
      </c>
      <c r="X4" s="185">
        <v>-2.5</v>
      </c>
      <c r="Y4" s="185">
        <v>-9.5</v>
      </c>
      <c r="Z4" s="173" t="s">
        <v>744</v>
      </c>
      <c r="AA4" s="173"/>
      <c r="AB4" s="185">
        <v>15.3</v>
      </c>
      <c r="AC4" s="185">
        <v>8.5</v>
      </c>
      <c r="AD4" s="185">
        <v>0</v>
      </c>
      <c r="AE4" s="173">
        <v>-1.9</v>
      </c>
      <c r="AF4" s="185">
        <v>6.3</v>
      </c>
      <c r="AG4" s="185">
        <v>4.8</v>
      </c>
      <c r="AH4" s="185">
        <v>-5.7</v>
      </c>
      <c r="AI4" s="173">
        <v>10.4</v>
      </c>
      <c r="AJ4" s="197">
        <v>16.1737</v>
      </c>
      <c r="AK4" s="173">
        <v>9</v>
      </c>
      <c r="AL4" s="173" t="s">
        <v>745</v>
      </c>
      <c r="AM4" s="182">
        <f>SUM(L4:AI4)</f>
        <v>66.099999999999994</v>
      </c>
      <c r="AN4" s="185" t="s">
        <v>10</v>
      </c>
      <c r="AO4" s="183" t="s">
        <v>999</v>
      </c>
      <c r="AP4" s="183" t="s">
        <v>255</v>
      </c>
      <c r="AQ4" s="186">
        <f>AI4/AR4</f>
        <v>10.4</v>
      </c>
      <c r="AR4" s="187">
        <v>1</v>
      </c>
    </row>
    <row r="5" spans="1:44">
      <c r="A5" s="176">
        <v>102</v>
      </c>
      <c r="B5" s="180" t="s">
        <v>1003</v>
      </c>
      <c r="C5" s="176" t="s">
        <v>746</v>
      </c>
      <c r="D5" s="176" t="s">
        <v>6</v>
      </c>
      <c r="E5" s="176" t="s">
        <v>747</v>
      </c>
      <c r="F5" s="176" t="s">
        <v>748</v>
      </c>
      <c r="G5" s="176" t="s">
        <v>12</v>
      </c>
      <c r="H5" s="176" t="s">
        <v>10</v>
      </c>
      <c r="I5" s="176" t="s">
        <v>743</v>
      </c>
      <c r="J5" s="176" t="s">
        <v>11</v>
      </c>
      <c r="K5" s="176" t="s">
        <v>263</v>
      </c>
      <c r="L5" s="173"/>
      <c r="M5" s="181"/>
      <c r="N5" s="182">
        <v>-4.2</v>
      </c>
      <c r="O5" s="182">
        <v>-2.6</v>
      </c>
      <c r="P5" s="182">
        <v>12.1</v>
      </c>
      <c r="Q5" s="182">
        <v>6.1</v>
      </c>
      <c r="R5" s="182">
        <v>1.6</v>
      </c>
      <c r="S5" s="182">
        <v>-2.9</v>
      </c>
      <c r="T5" s="182">
        <v>3.2</v>
      </c>
      <c r="U5" s="182">
        <v>0.5</v>
      </c>
      <c r="V5" s="182">
        <v>1.5</v>
      </c>
      <c r="W5" s="182">
        <v>13.5</v>
      </c>
      <c r="X5" s="182">
        <v>-4.0999999999999996</v>
      </c>
      <c r="Y5" s="182">
        <v>-10.7</v>
      </c>
      <c r="Z5" s="176">
        <v>7.9</v>
      </c>
      <c r="AA5" s="182">
        <v>5.6</v>
      </c>
      <c r="AB5" s="182">
        <v>-1.7</v>
      </c>
      <c r="AC5" s="182">
        <v>6</v>
      </c>
      <c r="AD5" s="182">
        <v>-1.1000000000000001</v>
      </c>
      <c r="AE5" s="176">
        <v>-3.3</v>
      </c>
      <c r="AF5" s="182">
        <v>5.7</v>
      </c>
      <c r="AG5" s="182">
        <v>4.5</v>
      </c>
      <c r="AH5" s="182">
        <v>-5.7</v>
      </c>
      <c r="AI5" s="204">
        <v>9.1999999999999993</v>
      </c>
      <c r="AJ5" s="205">
        <v>18.044499999999999</v>
      </c>
      <c r="AK5" s="176">
        <v>9</v>
      </c>
      <c r="AL5" s="176"/>
      <c r="AM5" s="182">
        <f>SUM(L5:AI5)</f>
        <v>41.1</v>
      </c>
      <c r="AN5" s="185" t="s">
        <v>10</v>
      </c>
      <c r="AO5" s="183" t="s">
        <v>999</v>
      </c>
      <c r="AP5" s="183" t="s">
        <v>255</v>
      </c>
      <c r="AQ5" s="186">
        <f>AI5/AR5</f>
        <v>9.1999999999999993</v>
      </c>
      <c r="AR5" s="187">
        <v>1</v>
      </c>
    </row>
    <row r="6" spans="1:44">
      <c r="A6" s="176">
        <v>103</v>
      </c>
      <c r="B6" s="180"/>
      <c r="C6" s="176" t="s">
        <v>749</v>
      </c>
      <c r="D6" s="176" t="s">
        <v>6</v>
      </c>
      <c r="E6" s="176" t="s">
        <v>13</v>
      </c>
      <c r="F6" s="176" t="s">
        <v>14</v>
      </c>
      <c r="G6" s="176" t="s">
        <v>9</v>
      </c>
      <c r="H6" s="176" t="s">
        <v>10</v>
      </c>
      <c r="I6" s="176" t="s">
        <v>743</v>
      </c>
      <c r="J6" s="176" t="s">
        <v>11</v>
      </c>
      <c r="K6" s="176" t="s">
        <v>263</v>
      </c>
      <c r="L6" s="173"/>
      <c r="M6" s="181"/>
      <c r="N6" s="182">
        <v>0</v>
      </c>
      <c r="O6" s="182">
        <v>4</v>
      </c>
      <c r="P6" s="182">
        <v>16.3</v>
      </c>
      <c r="Q6" s="182">
        <v>8.1999999999999993</v>
      </c>
      <c r="R6" s="182">
        <v>5.4</v>
      </c>
      <c r="S6" s="182">
        <v>1.6</v>
      </c>
      <c r="T6" s="182">
        <v>7.4</v>
      </c>
      <c r="U6" s="182">
        <v>5.5</v>
      </c>
      <c r="V6" s="182">
        <v>6.2</v>
      </c>
      <c r="W6" s="182">
        <v>17.5</v>
      </c>
      <c r="X6" s="182">
        <v>0.6</v>
      </c>
      <c r="Y6" s="182">
        <v>-7.2</v>
      </c>
      <c r="Z6" s="177" t="s">
        <v>1001</v>
      </c>
      <c r="AA6" s="177"/>
      <c r="AB6" s="177"/>
      <c r="AC6" s="177"/>
      <c r="AD6" s="177"/>
      <c r="AE6" s="177"/>
      <c r="AF6" s="183"/>
      <c r="AG6" s="183"/>
      <c r="AH6" s="189">
        <v>46.7</v>
      </c>
      <c r="AI6" s="206" t="s">
        <v>247</v>
      </c>
      <c r="AJ6" s="205">
        <v>17.4498</v>
      </c>
      <c r="AK6" s="176">
        <v>8</v>
      </c>
      <c r="AL6" s="176"/>
      <c r="AM6" s="182">
        <f>SUM(L6:AH6)</f>
        <v>112.19999999999999</v>
      </c>
      <c r="AN6" s="185" t="s">
        <v>10</v>
      </c>
      <c r="AO6" s="183" t="s">
        <v>999</v>
      </c>
      <c r="AP6" s="183" t="s">
        <v>545</v>
      </c>
      <c r="AQ6" s="186">
        <f>AH6/AR6</f>
        <v>5.1888888888888891</v>
      </c>
      <c r="AR6" s="187">
        <v>9</v>
      </c>
    </row>
    <row r="7" spans="1:44">
      <c r="A7" s="176">
        <v>104</v>
      </c>
      <c r="B7" s="180" t="s">
        <v>1003</v>
      </c>
      <c r="C7" s="176" t="s">
        <v>750</v>
      </c>
      <c r="D7" s="176" t="s">
        <v>6</v>
      </c>
      <c r="E7" s="176" t="s">
        <v>15</v>
      </c>
      <c r="F7" s="176" t="s">
        <v>16</v>
      </c>
      <c r="G7" s="176" t="s">
        <v>9</v>
      </c>
      <c r="H7" s="176" t="s">
        <v>10</v>
      </c>
      <c r="I7" s="176" t="s">
        <v>743</v>
      </c>
      <c r="J7" s="176" t="s">
        <v>11</v>
      </c>
      <c r="K7" s="176" t="s">
        <v>263</v>
      </c>
      <c r="L7" s="173"/>
      <c r="M7" s="181"/>
      <c r="N7" s="182">
        <v>-4.7</v>
      </c>
      <c r="O7" s="182">
        <v>0.9</v>
      </c>
      <c r="P7" s="182">
        <v>9.6</v>
      </c>
      <c r="Q7" s="182">
        <v>4.0999999999999996</v>
      </c>
      <c r="R7" s="182">
        <v>0.3</v>
      </c>
      <c r="S7" s="182">
        <v>-4.0999999999999996</v>
      </c>
      <c r="T7" s="182">
        <v>4</v>
      </c>
      <c r="U7" s="182">
        <v>1.9</v>
      </c>
      <c r="V7" s="182">
        <v>3.9</v>
      </c>
      <c r="W7" s="182">
        <v>16.2</v>
      </c>
      <c r="X7" s="182">
        <v>-2.5</v>
      </c>
      <c r="Y7" s="182">
        <v>-10.1</v>
      </c>
      <c r="Z7" s="176">
        <v>4.5</v>
      </c>
      <c r="AA7" s="182">
        <v>4.5</v>
      </c>
      <c r="AB7" s="182">
        <v>-2.6</v>
      </c>
      <c r="AC7" s="182">
        <v>6.8</v>
      </c>
      <c r="AD7" s="182">
        <v>-2.1</v>
      </c>
      <c r="AE7" s="176">
        <v>-3.7</v>
      </c>
      <c r="AF7" s="182">
        <v>5.0999999999999996</v>
      </c>
      <c r="AG7" s="182">
        <v>5</v>
      </c>
      <c r="AH7" s="182">
        <v>-5.6</v>
      </c>
      <c r="AI7" s="204">
        <v>9.4</v>
      </c>
      <c r="AJ7" s="205">
        <v>15.950900000000001</v>
      </c>
      <c r="AK7" s="176">
        <v>9</v>
      </c>
      <c r="AL7" s="176"/>
      <c r="AM7" s="182">
        <f>SUM(L7:AI7)</f>
        <v>40.79999999999999</v>
      </c>
      <c r="AN7" s="185" t="s">
        <v>10</v>
      </c>
      <c r="AO7" s="183" t="s">
        <v>999</v>
      </c>
      <c r="AP7" s="183" t="s">
        <v>255</v>
      </c>
      <c r="AQ7" s="186">
        <f>AI7/AR7</f>
        <v>9.4</v>
      </c>
      <c r="AR7" s="187">
        <v>1</v>
      </c>
    </row>
    <row r="8" spans="1:44">
      <c r="A8" s="176">
        <v>105</v>
      </c>
      <c r="B8" s="180"/>
      <c r="C8" s="176" t="s">
        <v>751</v>
      </c>
      <c r="D8" s="176" t="s">
        <v>6</v>
      </c>
      <c r="E8" s="176" t="s">
        <v>17</v>
      </c>
      <c r="F8" s="176" t="s">
        <v>18</v>
      </c>
      <c r="G8" s="176" t="s">
        <v>12</v>
      </c>
      <c r="H8" s="176" t="s">
        <v>19</v>
      </c>
      <c r="I8" s="176" t="s">
        <v>743</v>
      </c>
      <c r="J8" s="176" t="s">
        <v>11</v>
      </c>
      <c r="K8" s="176" t="s">
        <v>263</v>
      </c>
      <c r="L8" s="182">
        <v>17.3</v>
      </c>
      <c r="M8" s="182">
        <v>-3.9</v>
      </c>
      <c r="N8" s="182">
        <v>-5.8</v>
      </c>
      <c r="O8" s="182">
        <v>1.3</v>
      </c>
      <c r="P8" s="182">
        <v>7.9</v>
      </c>
      <c r="Q8" s="182">
        <v>2.9</v>
      </c>
      <c r="R8" s="182">
        <v>-0.5</v>
      </c>
      <c r="S8" s="183" t="s">
        <v>20</v>
      </c>
      <c r="T8" s="177"/>
      <c r="U8" s="177"/>
      <c r="V8" s="177"/>
      <c r="W8" s="177"/>
      <c r="X8" s="183" t="s">
        <v>21</v>
      </c>
      <c r="Y8" s="182">
        <v>-11.9</v>
      </c>
      <c r="Z8" s="177"/>
      <c r="AA8" s="177"/>
      <c r="AB8" s="183" t="s">
        <v>22</v>
      </c>
      <c r="AC8" s="182">
        <v>15.1</v>
      </c>
      <c r="AD8" s="182">
        <v>-4</v>
      </c>
      <c r="AE8" s="176">
        <v>-5.3</v>
      </c>
      <c r="AF8" s="182">
        <v>6.7</v>
      </c>
      <c r="AG8" s="182">
        <v>2.9</v>
      </c>
      <c r="AH8" s="182">
        <v>-6.1</v>
      </c>
      <c r="AI8" s="206">
        <v>8.4</v>
      </c>
      <c r="AJ8" s="205">
        <v>17.9941</v>
      </c>
      <c r="AK8" s="176">
        <v>9</v>
      </c>
      <c r="AL8" s="176" t="s">
        <v>752</v>
      </c>
      <c r="AM8" s="182">
        <f>SUM(AC8:AI8)</f>
        <v>17.700000000000003</v>
      </c>
      <c r="AN8" s="185" t="s">
        <v>619</v>
      </c>
      <c r="AO8" s="183" t="s">
        <v>999</v>
      </c>
      <c r="AP8" s="183" t="s">
        <v>255</v>
      </c>
      <c r="AQ8" s="186">
        <f>AI8/AR8</f>
        <v>8.4</v>
      </c>
      <c r="AR8" s="187">
        <v>1</v>
      </c>
    </row>
    <row r="9" spans="1:44">
      <c r="A9" s="176">
        <v>106</v>
      </c>
      <c r="B9" s="180" t="s">
        <v>1003</v>
      </c>
      <c r="C9" s="176" t="s">
        <v>753</v>
      </c>
      <c r="D9" s="176" t="s">
        <v>6</v>
      </c>
      <c r="E9" s="176" t="s">
        <v>23</v>
      </c>
      <c r="F9" s="176" t="s">
        <v>24</v>
      </c>
      <c r="G9" s="176" t="s">
        <v>12</v>
      </c>
      <c r="H9" s="176" t="s">
        <v>19</v>
      </c>
      <c r="I9" s="176" t="s">
        <v>743</v>
      </c>
      <c r="J9" s="176" t="s">
        <v>11</v>
      </c>
      <c r="K9" s="176" t="s">
        <v>263</v>
      </c>
      <c r="L9" s="182">
        <v>16.7</v>
      </c>
      <c r="M9" s="182">
        <v>-4.7</v>
      </c>
      <c r="N9" s="182">
        <v>-5.7</v>
      </c>
      <c r="O9" s="185" t="s">
        <v>754</v>
      </c>
      <c r="P9" s="189">
        <v>9.8000000000000007</v>
      </c>
      <c r="Q9" s="182">
        <v>3.5</v>
      </c>
      <c r="R9" s="182">
        <v>-1.6</v>
      </c>
      <c r="S9" s="182">
        <v>-3.4</v>
      </c>
      <c r="T9" s="182">
        <v>4.5999999999999996</v>
      </c>
      <c r="U9" s="182">
        <v>0.8</v>
      </c>
      <c r="V9" s="182">
        <v>3.5</v>
      </c>
      <c r="W9" s="182">
        <v>13</v>
      </c>
      <c r="X9" s="182">
        <v>-1.2</v>
      </c>
      <c r="Y9" s="182">
        <v>-12.7</v>
      </c>
      <c r="Z9" s="176">
        <v>5.0999999999999996</v>
      </c>
      <c r="AA9" s="182">
        <v>5.0999999999999996</v>
      </c>
      <c r="AB9" s="182">
        <v>-3.7</v>
      </c>
      <c r="AC9" s="182">
        <v>7</v>
      </c>
      <c r="AD9" s="182">
        <v>-3.4</v>
      </c>
      <c r="AE9" s="176">
        <v>-6.1</v>
      </c>
      <c r="AF9" s="182">
        <v>6.2</v>
      </c>
      <c r="AG9" s="182">
        <v>4.3</v>
      </c>
      <c r="AH9" s="182">
        <v>-6.5</v>
      </c>
      <c r="AI9" s="206">
        <v>8.3000000000000007</v>
      </c>
      <c r="AJ9" s="205">
        <v>18.474599999999999</v>
      </c>
      <c r="AK9" s="176">
        <v>9</v>
      </c>
      <c r="AL9" s="176"/>
      <c r="AM9" s="182">
        <f>SUM(L9:AI9)</f>
        <v>38.899999999999991</v>
      </c>
      <c r="AN9" s="185" t="s">
        <v>19</v>
      </c>
      <c r="AO9" s="183" t="s">
        <v>999</v>
      </c>
      <c r="AP9" s="183" t="s">
        <v>255</v>
      </c>
      <c r="AQ9" s="186">
        <f>AI9/AR9</f>
        <v>8.3000000000000007</v>
      </c>
      <c r="AR9" s="187">
        <v>1</v>
      </c>
    </row>
    <row r="10" spans="1:44">
      <c r="A10" s="176">
        <v>107</v>
      </c>
      <c r="B10" s="180"/>
      <c r="C10" s="176" t="s">
        <v>755</v>
      </c>
      <c r="D10" s="176" t="s">
        <v>6</v>
      </c>
      <c r="E10" s="176" t="s">
        <v>25</v>
      </c>
      <c r="F10" s="176" t="s">
        <v>26</v>
      </c>
      <c r="G10" s="176" t="s">
        <v>12</v>
      </c>
      <c r="H10" s="176" t="s">
        <v>19</v>
      </c>
      <c r="I10" s="176" t="s">
        <v>743</v>
      </c>
      <c r="J10" s="176" t="s">
        <v>11</v>
      </c>
      <c r="K10" s="176" t="s">
        <v>263</v>
      </c>
      <c r="L10" s="182">
        <v>12.4</v>
      </c>
      <c r="M10" s="182">
        <v>-2.9</v>
      </c>
      <c r="N10" s="182">
        <v>-3.7</v>
      </c>
      <c r="O10" s="185" t="s">
        <v>754</v>
      </c>
      <c r="P10" s="189">
        <v>8.6999999999999993</v>
      </c>
      <c r="Q10" s="182">
        <v>-0.7</v>
      </c>
      <c r="R10" s="182">
        <v>4</v>
      </c>
      <c r="S10" s="182">
        <v>-4.0999999999999996</v>
      </c>
      <c r="T10" s="182">
        <v>2.6</v>
      </c>
      <c r="U10" s="182">
        <v>0.7</v>
      </c>
      <c r="V10" s="182">
        <v>1.7</v>
      </c>
      <c r="W10" s="182">
        <v>9.5</v>
      </c>
      <c r="X10" s="182">
        <v>-1.4</v>
      </c>
      <c r="Y10" s="183" t="s">
        <v>756</v>
      </c>
      <c r="Z10" s="177"/>
      <c r="AA10" s="177"/>
      <c r="AB10" s="183">
        <v>-3.1</v>
      </c>
      <c r="AC10" s="173" t="s">
        <v>744</v>
      </c>
      <c r="AD10" s="177"/>
      <c r="AE10" s="177">
        <v>2.7</v>
      </c>
      <c r="AF10" s="173" t="s">
        <v>744</v>
      </c>
      <c r="AG10" s="183"/>
      <c r="AH10" s="183">
        <v>1.4</v>
      </c>
      <c r="AI10" s="206" t="s">
        <v>247</v>
      </c>
      <c r="AJ10" s="205">
        <v>19.1768</v>
      </c>
      <c r="AK10" s="176">
        <v>8</v>
      </c>
      <c r="AL10" s="176"/>
      <c r="AM10" s="182">
        <f>SUM(L10:AH10)</f>
        <v>27.799999999999997</v>
      </c>
      <c r="AN10" s="185" t="s">
        <v>19</v>
      </c>
      <c r="AO10" s="183" t="s">
        <v>999</v>
      </c>
      <c r="AP10" s="183" t="s">
        <v>545</v>
      </c>
      <c r="AQ10" s="186">
        <f>AH10/AR10</f>
        <v>0.46666666666666662</v>
      </c>
      <c r="AR10" s="187">
        <v>3</v>
      </c>
    </row>
    <row r="11" spans="1:44">
      <c r="A11" s="176">
        <v>108</v>
      </c>
      <c r="B11" s="180"/>
      <c r="C11" s="176" t="s">
        <v>757</v>
      </c>
      <c r="D11" s="176" t="s">
        <v>6</v>
      </c>
      <c r="E11" s="176" t="s">
        <v>27</v>
      </c>
      <c r="F11" s="176" t="s">
        <v>28</v>
      </c>
      <c r="G11" s="176" t="s">
        <v>9</v>
      </c>
      <c r="H11" s="176" t="s">
        <v>10</v>
      </c>
      <c r="I11" s="176" t="s">
        <v>743</v>
      </c>
      <c r="J11" s="176" t="s">
        <v>11</v>
      </c>
      <c r="K11" s="176" t="s">
        <v>263</v>
      </c>
      <c r="L11" s="173"/>
      <c r="M11" s="181"/>
      <c r="N11" s="185" t="s">
        <v>744</v>
      </c>
      <c r="O11" s="177"/>
      <c r="P11" s="189">
        <v>6.1</v>
      </c>
      <c r="Q11" s="182">
        <v>3.2</v>
      </c>
      <c r="R11" s="182">
        <v>0.4</v>
      </c>
      <c r="S11" s="183" t="s">
        <v>754</v>
      </c>
      <c r="T11" s="183">
        <v>1.2</v>
      </c>
      <c r="U11" s="185" t="s">
        <v>756</v>
      </c>
      <c r="V11" s="177"/>
      <c r="W11" s="177"/>
      <c r="X11" s="183">
        <v>14.5</v>
      </c>
      <c r="Y11" s="183" t="s">
        <v>756</v>
      </c>
      <c r="Z11" s="177"/>
      <c r="AA11" s="177"/>
      <c r="AB11" s="183">
        <v>7.6</v>
      </c>
      <c r="AC11" s="173" t="s">
        <v>744</v>
      </c>
      <c r="AD11" s="177"/>
      <c r="AE11" s="177">
        <v>-4.4000000000000004</v>
      </c>
      <c r="AF11" s="173" t="s">
        <v>744</v>
      </c>
      <c r="AG11" s="183"/>
      <c r="AH11" s="183">
        <v>0.8</v>
      </c>
      <c r="AI11" s="206" t="s">
        <v>247</v>
      </c>
      <c r="AJ11" s="205">
        <v>25.279800000000002</v>
      </c>
      <c r="AK11" s="176">
        <v>8</v>
      </c>
      <c r="AL11" s="176"/>
      <c r="AM11" s="182">
        <f>SUM(L11:AH11)</f>
        <v>29.400000000000002</v>
      </c>
      <c r="AN11" s="185" t="s">
        <v>10</v>
      </c>
      <c r="AO11" s="183" t="s">
        <v>999</v>
      </c>
      <c r="AP11" s="183" t="s">
        <v>545</v>
      </c>
      <c r="AQ11" s="186">
        <f>AH11/AR11</f>
        <v>0.26666666666666666</v>
      </c>
      <c r="AR11" s="187">
        <v>3</v>
      </c>
    </row>
    <row r="12" spans="1:44">
      <c r="A12" s="176">
        <v>109</v>
      </c>
      <c r="B12" s="180"/>
      <c r="C12" s="176" t="s">
        <v>758</v>
      </c>
      <c r="D12" s="176" t="s">
        <v>6</v>
      </c>
      <c r="E12" s="176" t="s">
        <v>29</v>
      </c>
      <c r="F12" s="176" t="s">
        <v>30</v>
      </c>
      <c r="G12" s="176" t="s">
        <v>9</v>
      </c>
      <c r="H12" s="176" t="s">
        <v>31</v>
      </c>
      <c r="I12" s="176" t="s">
        <v>743</v>
      </c>
      <c r="J12" s="176" t="s">
        <v>11</v>
      </c>
      <c r="K12" s="176" t="s">
        <v>263</v>
      </c>
      <c r="L12" s="173"/>
      <c r="M12" s="177"/>
      <c r="N12" s="177"/>
      <c r="O12" s="177"/>
      <c r="P12" s="181"/>
      <c r="Q12" s="182">
        <v>-0.1</v>
      </c>
      <c r="R12" s="182">
        <v>-0.2</v>
      </c>
      <c r="S12" s="183" t="s">
        <v>754</v>
      </c>
      <c r="T12" s="183">
        <v>1.5</v>
      </c>
      <c r="U12" s="185" t="s">
        <v>759</v>
      </c>
      <c r="V12" s="177"/>
      <c r="W12" s="177"/>
      <c r="X12" s="177"/>
      <c r="Y12" s="177"/>
      <c r="Z12" s="177"/>
      <c r="AA12" s="177"/>
      <c r="AB12" s="189">
        <v>14.8</v>
      </c>
      <c r="AC12" s="173" t="s">
        <v>744</v>
      </c>
      <c r="AD12" s="177"/>
      <c r="AE12" s="177">
        <v>-9.1</v>
      </c>
      <c r="AF12" s="173" t="s">
        <v>744</v>
      </c>
      <c r="AG12" s="183"/>
      <c r="AH12" s="183">
        <v>-0.8</v>
      </c>
      <c r="AI12" s="206" t="s">
        <v>247</v>
      </c>
      <c r="AJ12" s="205">
        <v>32.000999999999998</v>
      </c>
      <c r="AK12" s="176">
        <v>8</v>
      </c>
      <c r="AL12" s="176"/>
      <c r="AM12" s="182">
        <f>SUM(L12:AH12)</f>
        <v>6.1000000000000005</v>
      </c>
      <c r="AN12" s="185" t="s">
        <v>31</v>
      </c>
      <c r="AO12" s="183" t="s">
        <v>999</v>
      </c>
      <c r="AP12" s="183" t="s">
        <v>545</v>
      </c>
      <c r="AQ12" s="186">
        <f>AH12/AR12</f>
        <v>-0.26666666666666666</v>
      </c>
      <c r="AR12" s="187">
        <v>3</v>
      </c>
    </row>
    <row r="13" spans="1:44">
      <c r="A13" s="176">
        <v>110</v>
      </c>
      <c r="B13" s="180"/>
      <c r="C13" s="176" t="s">
        <v>760</v>
      </c>
      <c r="D13" s="176" t="s">
        <v>6</v>
      </c>
      <c r="E13" s="176" t="s">
        <v>32</v>
      </c>
      <c r="F13" s="176" t="s">
        <v>33</v>
      </c>
      <c r="G13" s="176" t="s">
        <v>12</v>
      </c>
      <c r="H13" s="176" t="s">
        <v>19</v>
      </c>
      <c r="I13" s="176" t="s">
        <v>743</v>
      </c>
      <c r="J13" s="176" t="s">
        <v>11</v>
      </c>
      <c r="K13" s="176" t="s">
        <v>263</v>
      </c>
      <c r="L13" s="182">
        <v>26.1</v>
      </c>
      <c r="M13" s="182">
        <v>-4.2</v>
      </c>
      <c r="N13" s="182">
        <v>-6.6</v>
      </c>
      <c r="O13" s="185" t="s">
        <v>754</v>
      </c>
      <c r="P13" s="189">
        <v>15.7</v>
      </c>
      <c r="Q13" s="182">
        <v>1</v>
      </c>
      <c r="R13" s="182">
        <v>0.8</v>
      </c>
      <c r="S13" s="182">
        <v>-1</v>
      </c>
      <c r="T13" s="182">
        <v>1.9</v>
      </c>
      <c r="U13" s="182">
        <v>1.1000000000000001</v>
      </c>
      <c r="V13" s="182">
        <v>2.7</v>
      </c>
      <c r="W13" s="182">
        <v>11.3</v>
      </c>
      <c r="X13" s="182">
        <v>-0.4</v>
      </c>
      <c r="Y13" s="183" t="s">
        <v>756</v>
      </c>
      <c r="Z13" s="177"/>
      <c r="AA13" s="177"/>
      <c r="AB13" s="183">
        <v>1.9</v>
      </c>
      <c r="AC13" s="173" t="s">
        <v>744</v>
      </c>
      <c r="AD13" s="177"/>
      <c r="AE13" s="177">
        <v>3.4</v>
      </c>
      <c r="AF13" s="173" t="s">
        <v>744</v>
      </c>
      <c r="AG13" s="183"/>
      <c r="AH13" s="183">
        <v>3.7</v>
      </c>
      <c r="AI13" s="206" t="s">
        <v>247</v>
      </c>
      <c r="AJ13" s="205">
        <v>16.359100000000002</v>
      </c>
      <c r="AK13" s="176">
        <v>8</v>
      </c>
      <c r="AL13" s="176"/>
      <c r="AM13" s="182">
        <f>SUM(L13:AH13)</f>
        <v>57.4</v>
      </c>
      <c r="AN13" s="185" t="s">
        <v>19</v>
      </c>
      <c r="AO13" s="183" t="s">
        <v>999</v>
      </c>
      <c r="AP13" s="183" t="s">
        <v>545</v>
      </c>
      <c r="AQ13" s="186">
        <f>AH13/AR13</f>
        <v>1.2333333333333334</v>
      </c>
      <c r="AR13" s="187">
        <v>3</v>
      </c>
    </row>
    <row r="14" spans="1:44">
      <c r="A14" s="176">
        <v>111</v>
      </c>
      <c r="B14" s="180"/>
      <c r="C14" s="176" t="s">
        <v>1004</v>
      </c>
      <c r="D14" s="176" t="s">
        <v>6</v>
      </c>
      <c r="E14" s="176" t="s">
        <v>34</v>
      </c>
      <c r="F14" s="176" t="s">
        <v>35</v>
      </c>
      <c r="G14" s="176" t="s">
        <v>9</v>
      </c>
      <c r="H14" s="176" t="s">
        <v>36</v>
      </c>
      <c r="I14" s="176" t="s">
        <v>743</v>
      </c>
      <c r="J14" s="176" t="s">
        <v>11</v>
      </c>
      <c r="K14" s="176" t="s">
        <v>263</v>
      </c>
      <c r="L14" s="185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77"/>
      <c r="AA14" s="177"/>
      <c r="AB14" s="183"/>
      <c r="AC14" s="177"/>
      <c r="AD14" s="177"/>
      <c r="AE14" s="177"/>
      <c r="AF14" s="177"/>
      <c r="AG14" s="183" t="s">
        <v>37</v>
      </c>
      <c r="AH14" s="183"/>
      <c r="AI14" s="206" t="s">
        <v>247</v>
      </c>
      <c r="AJ14" s="205">
        <v>20.770499999999998</v>
      </c>
      <c r="AK14" s="176">
        <v>8</v>
      </c>
      <c r="AL14" s="176"/>
      <c r="AM14" s="182"/>
      <c r="AN14" s="185"/>
      <c r="AO14" s="183"/>
      <c r="AP14" s="183"/>
      <c r="AQ14" s="186"/>
      <c r="AR14" s="187"/>
    </row>
    <row r="15" spans="1:44">
      <c r="A15" s="176">
        <v>201</v>
      </c>
      <c r="B15" s="180" t="s">
        <v>1003</v>
      </c>
      <c r="C15" s="176" t="s">
        <v>761</v>
      </c>
      <c r="D15" s="176" t="s">
        <v>38</v>
      </c>
      <c r="E15" s="176" t="s">
        <v>39</v>
      </c>
      <c r="F15" s="176" t="s">
        <v>40</v>
      </c>
      <c r="G15" s="176" t="s">
        <v>9</v>
      </c>
      <c r="H15" s="176" t="s">
        <v>19</v>
      </c>
      <c r="I15" s="176" t="s">
        <v>743</v>
      </c>
      <c r="J15" s="176" t="s">
        <v>11</v>
      </c>
      <c r="K15" s="176" t="s">
        <v>263</v>
      </c>
      <c r="L15" s="182">
        <v>25.6</v>
      </c>
      <c r="M15" s="182">
        <v>1.3</v>
      </c>
      <c r="N15" s="182">
        <v>-3.9</v>
      </c>
      <c r="O15" s="182">
        <v>4.3</v>
      </c>
      <c r="P15" s="182">
        <v>11.6</v>
      </c>
      <c r="Q15" s="182">
        <v>6.5</v>
      </c>
      <c r="R15" s="182">
        <v>1.4</v>
      </c>
      <c r="S15" s="182">
        <v>-1.4</v>
      </c>
      <c r="T15" s="182">
        <v>5.7</v>
      </c>
      <c r="U15" s="182">
        <v>1.7</v>
      </c>
      <c r="V15" s="182">
        <v>3.5</v>
      </c>
      <c r="W15" s="182">
        <v>23</v>
      </c>
      <c r="X15" s="182">
        <v>3.3</v>
      </c>
      <c r="Y15" s="182">
        <v>-8.6999999999999993</v>
      </c>
      <c r="Z15" s="176">
        <v>2.9</v>
      </c>
      <c r="AA15" s="182">
        <v>5.7</v>
      </c>
      <c r="AB15" s="182">
        <v>-3</v>
      </c>
      <c r="AC15" s="182">
        <v>9.1</v>
      </c>
      <c r="AD15" s="182">
        <v>-1.4</v>
      </c>
      <c r="AE15" s="176">
        <v>-3.6</v>
      </c>
      <c r="AF15" s="182">
        <v>6.2</v>
      </c>
      <c r="AG15" s="182">
        <v>4.8</v>
      </c>
      <c r="AH15" s="182">
        <v>-6</v>
      </c>
      <c r="AI15" s="206">
        <v>9.3000000000000007</v>
      </c>
      <c r="AJ15" s="205">
        <v>15.522399999999999</v>
      </c>
      <c r="AK15" s="176">
        <v>9</v>
      </c>
      <c r="AL15" s="176"/>
      <c r="AM15" s="182">
        <f>SUM(L15:AI15)</f>
        <v>97.9</v>
      </c>
      <c r="AN15" s="185" t="s">
        <v>19</v>
      </c>
      <c r="AO15" s="183" t="s">
        <v>999</v>
      </c>
      <c r="AP15" s="183" t="s">
        <v>255</v>
      </c>
      <c r="AQ15" s="186">
        <f t="shared" ref="AQ15:AQ27" si="0">AI15/AR15</f>
        <v>9.3000000000000007</v>
      </c>
      <c r="AR15" s="187">
        <v>1</v>
      </c>
    </row>
    <row r="16" spans="1:44">
      <c r="A16" s="176">
        <v>202</v>
      </c>
      <c r="B16" s="180" t="s">
        <v>1003</v>
      </c>
      <c r="C16" s="176" t="s">
        <v>762</v>
      </c>
      <c r="D16" s="176" t="s">
        <v>38</v>
      </c>
      <c r="E16" s="176" t="s">
        <v>41</v>
      </c>
      <c r="F16" s="176" t="s">
        <v>42</v>
      </c>
      <c r="G16" s="176" t="s">
        <v>9</v>
      </c>
      <c r="H16" s="176" t="s">
        <v>31</v>
      </c>
      <c r="I16" s="176" t="s">
        <v>743</v>
      </c>
      <c r="J16" s="176" t="s">
        <v>763</v>
      </c>
      <c r="K16" s="176" t="s">
        <v>264</v>
      </c>
      <c r="L16" s="173"/>
      <c r="M16" s="177"/>
      <c r="N16" s="177"/>
      <c r="O16" s="177"/>
      <c r="P16" s="181"/>
      <c r="Q16" s="182">
        <v>29.5</v>
      </c>
      <c r="R16" s="182">
        <v>13.2</v>
      </c>
      <c r="S16" s="182">
        <v>-23.8</v>
      </c>
      <c r="T16" s="182">
        <v>32.799999999999997</v>
      </c>
      <c r="U16" s="182">
        <v>2.4</v>
      </c>
      <c r="V16" s="182">
        <v>17.2</v>
      </c>
      <c r="W16" s="182">
        <v>36.799999999999997</v>
      </c>
      <c r="X16" s="182">
        <v>6.4</v>
      </c>
      <c r="Y16" s="182">
        <v>4.7</v>
      </c>
      <c r="Z16" s="176">
        <v>-8.8000000000000007</v>
      </c>
      <c r="AA16" s="182">
        <v>9.1999999999999993</v>
      </c>
      <c r="AB16" s="182">
        <v>13.3</v>
      </c>
      <c r="AC16" s="182">
        <v>38.1</v>
      </c>
      <c r="AD16" s="182">
        <v>-9.9</v>
      </c>
      <c r="AE16" s="176">
        <v>-0.3</v>
      </c>
      <c r="AF16" s="182">
        <v>7.5</v>
      </c>
      <c r="AG16" s="182">
        <v>7</v>
      </c>
      <c r="AH16" s="182">
        <v>-6.3</v>
      </c>
      <c r="AI16" s="204">
        <v>5.5</v>
      </c>
      <c r="AJ16" s="205">
        <v>11.6876</v>
      </c>
      <c r="AK16" s="176">
        <v>9</v>
      </c>
      <c r="AL16" s="176"/>
      <c r="AM16" s="182">
        <f>SUM(L16:AI16)</f>
        <v>174.49999999999997</v>
      </c>
      <c r="AN16" s="185" t="s">
        <v>31</v>
      </c>
      <c r="AO16" s="183" t="s">
        <v>999</v>
      </c>
      <c r="AP16" s="183" t="s">
        <v>255</v>
      </c>
      <c r="AQ16" s="186">
        <f t="shared" si="0"/>
        <v>5.5</v>
      </c>
      <c r="AR16" s="187">
        <v>1</v>
      </c>
    </row>
    <row r="17" spans="1:44">
      <c r="A17" s="176">
        <v>203</v>
      </c>
      <c r="B17" s="180" t="s">
        <v>1003</v>
      </c>
      <c r="C17" s="176" t="s">
        <v>764</v>
      </c>
      <c r="D17" s="176" t="s">
        <v>38</v>
      </c>
      <c r="E17" s="176" t="s">
        <v>43</v>
      </c>
      <c r="F17" s="176" t="s">
        <v>44</v>
      </c>
      <c r="G17" s="176" t="s">
        <v>9</v>
      </c>
      <c r="H17" s="176" t="s">
        <v>19</v>
      </c>
      <c r="I17" s="176" t="s">
        <v>743</v>
      </c>
      <c r="J17" s="176" t="s">
        <v>763</v>
      </c>
      <c r="K17" s="176" t="s">
        <v>264</v>
      </c>
      <c r="L17" s="182">
        <v>34.299999999999997</v>
      </c>
      <c r="M17" s="182">
        <v>3.6</v>
      </c>
      <c r="N17" s="182">
        <v>-5</v>
      </c>
      <c r="O17" s="182">
        <v>6.1</v>
      </c>
      <c r="P17" s="182">
        <v>8.4</v>
      </c>
      <c r="Q17" s="182">
        <v>7.4</v>
      </c>
      <c r="R17" s="182">
        <v>8.4</v>
      </c>
      <c r="S17" s="182">
        <v>-6.2</v>
      </c>
      <c r="T17" s="182">
        <v>4.0999999999999996</v>
      </c>
      <c r="U17" s="182">
        <v>2.5</v>
      </c>
      <c r="V17" s="182">
        <v>9</v>
      </c>
      <c r="W17" s="182">
        <v>26.4</v>
      </c>
      <c r="X17" s="182">
        <v>-0.3</v>
      </c>
      <c r="Y17" s="182">
        <v>-9.5</v>
      </c>
      <c r="Z17" s="176">
        <v>0.5</v>
      </c>
      <c r="AA17" s="182">
        <v>4.0999999999999996</v>
      </c>
      <c r="AB17" s="182">
        <v>-2.1</v>
      </c>
      <c r="AC17" s="182">
        <v>10.199999999999999</v>
      </c>
      <c r="AD17" s="182">
        <v>-3.1</v>
      </c>
      <c r="AE17" s="176">
        <v>-2.5</v>
      </c>
      <c r="AF17" s="182">
        <v>4.5</v>
      </c>
      <c r="AG17" s="182">
        <v>5</v>
      </c>
      <c r="AH17" s="182">
        <v>-5.5</v>
      </c>
      <c r="AI17" s="206">
        <v>8.5</v>
      </c>
      <c r="AJ17" s="205">
        <v>11.6411</v>
      </c>
      <c r="AK17" s="176">
        <v>9</v>
      </c>
      <c r="AL17" s="176"/>
      <c r="AM17" s="182">
        <f>SUM(L17:AI17)</f>
        <v>108.80000000000001</v>
      </c>
      <c r="AN17" s="185" t="s">
        <v>19</v>
      </c>
      <c r="AO17" s="183" t="s">
        <v>999</v>
      </c>
      <c r="AP17" s="183" t="s">
        <v>255</v>
      </c>
      <c r="AQ17" s="186">
        <f t="shared" si="0"/>
        <v>8.5</v>
      </c>
      <c r="AR17" s="187">
        <v>1</v>
      </c>
    </row>
    <row r="18" spans="1:44">
      <c r="A18" s="176">
        <v>204</v>
      </c>
      <c r="B18" s="180" t="s">
        <v>1000</v>
      </c>
      <c r="C18" s="176" t="s">
        <v>765</v>
      </c>
      <c r="D18" s="176" t="s">
        <v>38</v>
      </c>
      <c r="E18" s="176" t="s">
        <v>45</v>
      </c>
      <c r="F18" s="176" t="s">
        <v>46</v>
      </c>
      <c r="G18" s="176" t="s">
        <v>9</v>
      </c>
      <c r="H18" s="176" t="s">
        <v>19</v>
      </c>
      <c r="I18" s="176" t="s">
        <v>743</v>
      </c>
      <c r="J18" s="176" t="s">
        <v>763</v>
      </c>
      <c r="K18" s="176" t="s">
        <v>264</v>
      </c>
      <c r="L18" s="185" t="s">
        <v>754</v>
      </c>
      <c r="M18" s="189">
        <v>83.4</v>
      </c>
      <c r="N18" s="182">
        <v>16.3</v>
      </c>
      <c r="O18" s="182">
        <v>10.7</v>
      </c>
      <c r="P18" s="182">
        <v>14.5</v>
      </c>
      <c r="Q18" s="182">
        <v>27.2</v>
      </c>
      <c r="R18" s="182">
        <v>15.7</v>
      </c>
      <c r="S18" s="182">
        <v>-8.9</v>
      </c>
      <c r="T18" s="182" t="s">
        <v>47</v>
      </c>
      <c r="U18" s="182" t="s">
        <v>47</v>
      </c>
      <c r="V18" s="182">
        <v>20.8</v>
      </c>
      <c r="W18" s="182">
        <v>41.1</v>
      </c>
      <c r="X18" s="182">
        <v>8.5</v>
      </c>
      <c r="Y18" s="182">
        <v>-5</v>
      </c>
      <c r="Z18" s="176">
        <v>-0.2</v>
      </c>
      <c r="AA18" s="182">
        <v>8.1999999999999993</v>
      </c>
      <c r="AB18" s="182">
        <v>10.9</v>
      </c>
      <c r="AC18" s="182">
        <v>22</v>
      </c>
      <c r="AD18" s="182">
        <v>-1.4</v>
      </c>
      <c r="AE18" s="176">
        <v>5.3</v>
      </c>
      <c r="AF18" s="182">
        <v>5.7</v>
      </c>
      <c r="AG18" s="182">
        <v>13.3</v>
      </c>
      <c r="AH18" s="182">
        <v>0</v>
      </c>
      <c r="AI18" s="206">
        <v>1.1000000000000001</v>
      </c>
      <c r="AJ18" s="205">
        <v>8.9268999999999998</v>
      </c>
      <c r="AK18" s="176">
        <v>9</v>
      </c>
      <c r="AL18" s="176" t="s">
        <v>766</v>
      </c>
      <c r="AM18" s="182">
        <f>SUM(V18:AI18)</f>
        <v>130.30000000000001</v>
      </c>
      <c r="AN18" s="185" t="s">
        <v>19</v>
      </c>
      <c r="AO18" s="183" t="s">
        <v>999</v>
      </c>
      <c r="AP18" s="183" t="s">
        <v>255</v>
      </c>
      <c r="AQ18" s="186">
        <f t="shared" si="0"/>
        <v>1.1000000000000001</v>
      </c>
      <c r="AR18" s="187">
        <v>1</v>
      </c>
    </row>
    <row r="19" spans="1:44">
      <c r="A19" s="176">
        <v>205</v>
      </c>
      <c r="B19" s="180" t="s">
        <v>1003</v>
      </c>
      <c r="C19" s="176" t="s">
        <v>767</v>
      </c>
      <c r="D19" s="176" t="s">
        <v>38</v>
      </c>
      <c r="E19" s="176" t="s">
        <v>48</v>
      </c>
      <c r="F19" s="176" t="s">
        <v>49</v>
      </c>
      <c r="G19" s="176" t="s">
        <v>9</v>
      </c>
      <c r="H19" s="176" t="s">
        <v>19</v>
      </c>
      <c r="I19" s="176" t="s">
        <v>743</v>
      </c>
      <c r="J19" s="176" t="s">
        <v>763</v>
      </c>
      <c r="K19" s="176" t="s">
        <v>265</v>
      </c>
      <c r="L19" s="185" t="s">
        <v>754</v>
      </c>
      <c r="M19" s="189">
        <v>49.3</v>
      </c>
      <c r="N19" s="182">
        <v>5.4</v>
      </c>
      <c r="O19" s="182">
        <v>6.1</v>
      </c>
      <c r="P19" s="182">
        <v>13.4</v>
      </c>
      <c r="Q19" s="182">
        <v>6.5</v>
      </c>
      <c r="R19" s="182">
        <v>6.5</v>
      </c>
      <c r="S19" s="182">
        <v>-4.4000000000000004</v>
      </c>
      <c r="T19" s="182">
        <v>2</v>
      </c>
      <c r="U19" s="182">
        <v>6.2</v>
      </c>
      <c r="V19" s="182">
        <v>9.3000000000000007</v>
      </c>
      <c r="W19" s="182">
        <v>13.9</v>
      </c>
      <c r="X19" s="182">
        <v>10</v>
      </c>
      <c r="Y19" s="182">
        <v>-1.2</v>
      </c>
      <c r="Z19" s="176">
        <v>7.7</v>
      </c>
      <c r="AA19" s="182">
        <v>3.8</v>
      </c>
      <c r="AB19" s="182">
        <v>4</v>
      </c>
      <c r="AC19" s="182">
        <v>10</v>
      </c>
      <c r="AD19" s="182">
        <v>0.8</v>
      </c>
      <c r="AE19" s="176">
        <v>3.4</v>
      </c>
      <c r="AF19" s="182">
        <v>4.0999999999999996</v>
      </c>
      <c r="AG19" s="182">
        <v>5.6</v>
      </c>
      <c r="AH19" s="182">
        <v>-1.9</v>
      </c>
      <c r="AI19" s="206">
        <v>0.6</v>
      </c>
      <c r="AJ19" s="205">
        <v>9.7948000000000004</v>
      </c>
      <c r="AK19" s="176">
        <v>9</v>
      </c>
      <c r="AL19" s="176"/>
      <c r="AM19" s="182">
        <f>SUM(L19:AI19)</f>
        <v>161.1</v>
      </c>
      <c r="AN19" s="185" t="s">
        <v>19</v>
      </c>
      <c r="AO19" s="183" t="s">
        <v>999</v>
      </c>
      <c r="AP19" s="183" t="s">
        <v>288</v>
      </c>
      <c r="AQ19" s="186">
        <f t="shared" si="0"/>
        <v>0.6</v>
      </c>
      <c r="AR19" s="187">
        <v>1</v>
      </c>
    </row>
    <row r="20" spans="1:44">
      <c r="A20" s="176">
        <v>206</v>
      </c>
      <c r="B20" s="180" t="s">
        <v>1003</v>
      </c>
      <c r="C20" s="176" t="s">
        <v>768</v>
      </c>
      <c r="D20" s="176" t="s">
        <v>38</v>
      </c>
      <c r="E20" s="176" t="s">
        <v>50</v>
      </c>
      <c r="F20" s="176" t="s">
        <v>51</v>
      </c>
      <c r="G20" s="176" t="s">
        <v>9</v>
      </c>
      <c r="H20" s="176" t="s">
        <v>19</v>
      </c>
      <c r="I20" s="176" t="s">
        <v>743</v>
      </c>
      <c r="J20" s="176" t="s">
        <v>763</v>
      </c>
      <c r="K20" s="176" t="s">
        <v>265</v>
      </c>
      <c r="L20" s="185" t="s">
        <v>754</v>
      </c>
      <c r="M20" s="189">
        <v>74</v>
      </c>
      <c r="N20" s="182">
        <v>9.9</v>
      </c>
      <c r="O20" s="182">
        <v>4.5999999999999996</v>
      </c>
      <c r="P20" s="182">
        <v>15.7</v>
      </c>
      <c r="Q20" s="182">
        <v>21.9</v>
      </c>
      <c r="R20" s="182">
        <v>22.6</v>
      </c>
      <c r="S20" s="182">
        <v>-10.5</v>
      </c>
      <c r="T20" s="182">
        <v>16.399999999999999</v>
      </c>
      <c r="U20" s="182">
        <v>6.1</v>
      </c>
      <c r="V20" s="182">
        <v>5.6</v>
      </c>
      <c r="W20" s="182">
        <v>24.1</v>
      </c>
      <c r="X20" s="182">
        <v>2.9</v>
      </c>
      <c r="Y20" s="182">
        <v>-3.1</v>
      </c>
      <c r="Z20" s="176">
        <v>7</v>
      </c>
      <c r="AA20" s="182">
        <v>5.0999999999999996</v>
      </c>
      <c r="AB20" s="182">
        <v>1.6</v>
      </c>
      <c r="AC20" s="182">
        <v>4.7</v>
      </c>
      <c r="AD20" s="182">
        <v>0.6</v>
      </c>
      <c r="AE20" s="176">
        <v>0.3</v>
      </c>
      <c r="AF20" s="182">
        <v>1.8</v>
      </c>
      <c r="AG20" s="182">
        <v>3.9</v>
      </c>
      <c r="AH20" s="182">
        <v>-2.8</v>
      </c>
      <c r="AI20" s="206">
        <v>4.2</v>
      </c>
      <c r="AJ20" s="205">
        <v>8.8521999999999998</v>
      </c>
      <c r="AK20" s="176">
        <v>9</v>
      </c>
      <c r="AL20" s="176"/>
      <c r="AM20" s="182">
        <f>SUM(L20:AI20)</f>
        <v>216.59999999999997</v>
      </c>
      <c r="AN20" s="185" t="s">
        <v>19</v>
      </c>
      <c r="AO20" s="183" t="s">
        <v>999</v>
      </c>
      <c r="AP20" s="183" t="s">
        <v>255</v>
      </c>
      <c r="AQ20" s="186">
        <f t="shared" si="0"/>
        <v>4.2</v>
      </c>
      <c r="AR20" s="187">
        <v>1</v>
      </c>
    </row>
    <row r="21" spans="1:44">
      <c r="A21" s="176">
        <v>207</v>
      </c>
      <c r="B21" s="180" t="s">
        <v>1003</v>
      </c>
      <c r="C21" s="176" t="s">
        <v>769</v>
      </c>
      <c r="D21" s="176" t="s">
        <v>38</v>
      </c>
      <c r="E21" s="176" t="s">
        <v>52</v>
      </c>
      <c r="F21" s="176" t="s">
        <v>53</v>
      </c>
      <c r="G21" s="176" t="s">
        <v>9</v>
      </c>
      <c r="H21" s="176" t="s">
        <v>19</v>
      </c>
      <c r="I21" s="176" t="s">
        <v>743</v>
      </c>
      <c r="J21" s="176" t="s">
        <v>54</v>
      </c>
      <c r="K21" s="176" t="s">
        <v>265</v>
      </c>
      <c r="L21" s="182">
        <v>46.1</v>
      </c>
      <c r="M21" s="182">
        <v>4.7</v>
      </c>
      <c r="N21" s="182">
        <v>38.4</v>
      </c>
      <c r="O21" s="182">
        <v>14.2</v>
      </c>
      <c r="P21" s="182">
        <v>20.5</v>
      </c>
      <c r="Q21" s="182">
        <v>26.6</v>
      </c>
      <c r="R21" s="182">
        <v>31.8</v>
      </c>
      <c r="S21" s="182">
        <v>-12.2</v>
      </c>
      <c r="T21" s="182">
        <v>33.9</v>
      </c>
      <c r="U21" s="182">
        <v>9.8000000000000007</v>
      </c>
      <c r="V21" s="182">
        <v>35.700000000000003</v>
      </c>
      <c r="W21" s="182" t="s">
        <v>770</v>
      </c>
      <c r="X21" s="182">
        <v>14.7</v>
      </c>
      <c r="Y21" s="182">
        <v>7.9</v>
      </c>
      <c r="Z21" s="176">
        <v>3.5</v>
      </c>
      <c r="AA21" s="182">
        <v>15.4</v>
      </c>
      <c r="AB21" s="182">
        <v>-1.8</v>
      </c>
      <c r="AC21" s="182">
        <v>13.9</v>
      </c>
      <c r="AD21" s="182">
        <v>-2.2000000000000002</v>
      </c>
      <c r="AE21" s="176">
        <v>2.9</v>
      </c>
      <c r="AF21" s="182">
        <v>3.9</v>
      </c>
      <c r="AG21" s="182">
        <v>4.3</v>
      </c>
      <c r="AH21" s="182">
        <v>0.2</v>
      </c>
      <c r="AI21" s="206">
        <v>13.8</v>
      </c>
      <c r="AJ21" s="205">
        <v>4.9619999999999997</v>
      </c>
      <c r="AK21" s="176">
        <v>9</v>
      </c>
      <c r="AL21" s="176" t="s">
        <v>771</v>
      </c>
      <c r="AM21" s="182">
        <f>SUM(X21:AI21)</f>
        <v>76.5</v>
      </c>
      <c r="AN21" s="185" t="s">
        <v>615</v>
      </c>
      <c r="AO21" s="183" t="s">
        <v>999</v>
      </c>
      <c r="AP21" s="183" t="s">
        <v>255</v>
      </c>
      <c r="AQ21" s="186">
        <f t="shared" si="0"/>
        <v>13.8</v>
      </c>
      <c r="AR21" s="187">
        <v>1</v>
      </c>
    </row>
    <row r="22" spans="1:44">
      <c r="A22" s="176">
        <v>208</v>
      </c>
      <c r="B22" s="180"/>
      <c r="C22" s="176" t="s">
        <v>772</v>
      </c>
      <c r="D22" s="176" t="s">
        <v>38</v>
      </c>
      <c r="E22" s="176" t="s">
        <v>266</v>
      </c>
      <c r="F22" s="176" t="s">
        <v>267</v>
      </c>
      <c r="G22" s="176" t="s">
        <v>9</v>
      </c>
      <c r="H22" s="176" t="s">
        <v>10</v>
      </c>
      <c r="I22" s="176" t="s">
        <v>743</v>
      </c>
      <c r="J22" s="176" t="s">
        <v>54</v>
      </c>
      <c r="K22" s="176" t="s">
        <v>265</v>
      </c>
      <c r="L22" s="173"/>
      <c r="M22" s="181"/>
      <c r="N22" s="185" t="s">
        <v>744</v>
      </c>
      <c r="O22" s="177"/>
      <c r="P22" s="183">
        <v>59.2</v>
      </c>
      <c r="Q22" s="182">
        <v>21.2</v>
      </c>
      <c r="R22" s="182">
        <v>6.2</v>
      </c>
      <c r="S22" s="182">
        <v>-9.8000000000000007</v>
      </c>
      <c r="T22" s="182">
        <v>12.5</v>
      </c>
      <c r="U22" s="182">
        <v>11.3</v>
      </c>
      <c r="V22" s="182">
        <v>28.2</v>
      </c>
      <c r="W22" s="183" t="s">
        <v>775</v>
      </c>
      <c r="X22" s="177"/>
      <c r="Y22" s="177"/>
      <c r="Z22" s="177"/>
      <c r="AA22" s="177"/>
      <c r="AB22" s="183">
        <v>58.7</v>
      </c>
      <c r="AC22" s="176" t="s">
        <v>770</v>
      </c>
      <c r="AD22" s="182">
        <v>-0.1</v>
      </c>
      <c r="AE22" s="176">
        <v>7.9</v>
      </c>
      <c r="AF22" s="182">
        <v>8.6999999999999993</v>
      </c>
      <c r="AG22" s="182">
        <v>4</v>
      </c>
      <c r="AH22" s="182">
        <v>10.7</v>
      </c>
      <c r="AI22" s="204">
        <v>8.8000000000000007</v>
      </c>
      <c r="AJ22" s="205">
        <v>2.8576999999999999</v>
      </c>
      <c r="AK22" s="176">
        <v>9</v>
      </c>
      <c r="AL22" s="176" t="s">
        <v>776</v>
      </c>
      <c r="AM22" s="182">
        <f>SUM(AD22:AI22)</f>
        <v>40</v>
      </c>
      <c r="AN22" s="185" t="s">
        <v>620</v>
      </c>
      <c r="AO22" s="183" t="s">
        <v>999</v>
      </c>
      <c r="AP22" s="183" t="s">
        <v>255</v>
      </c>
      <c r="AQ22" s="186">
        <f t="shared" si="0"/>
        <v>8.8000000000000007</v>
      </c>
      <c r="AR22" s="187">
        <v>1</v>
      </c>
    </row>
    <row r="23" spans="1:44">
      <c r="A23" s="176">
        <v>209</v>
      </c>
      <c r="B23" s="180"/>
      <c r="C23" s="176" t="s">
        <v>777</v>
      </c>
      <c r="D23" s="176" t="s">
        <v>38</v>
      </c>
      <c r="E23" s="176" t="s">
        <v>268</v>
      </c>
      <c r="F23" s="176" t="s">
        <v>55</v>
      </c>
      <c r="G23" s="176" t="s">
        <v>9</v>
      </c>
      <c r="H23" s="176" t="s">
        <v>10</v>
      </c>
      <c r="I23" s="176" t="s">
        <v>743</v>
      </c>
      <c r="J23" s="176" t="s">
        <v>54</v>
      </c>
      <c r="K23" s="176" t="s">
        <v>265</v>
      </c>
      <c r="L23" s="173"/>
      <c r="M23" s="181"/>
      <c r="N23" s="182">
        <v>17.7</v>
      </c>
      <c r="O23" s="182">
        <v>12.7</v>
      </c>
      <c r="P23" s="182">
        <v>5.7</v>
      </c>
      <c r="Q23" s="182">
        <v>30.8</v>
      </c>
      <c r="R23" s="182">
        <v>15.1</v>
      </c>
      <c r="S23" s="182">
        <v>-20.2</v>
      </c>
      <c r="T23" s="182">
        <v>12.3</v>
      </c>
      <c r="U23" s="182">
        <v>2.6</v>
      </c>
      <c r="V23" s="182">
        <v>35</v>
      </c>
      <c r="W23" s="183" t="s">
        <v>775</v>
      </c>
      <c r="X23" s="177"/>
      <c r="Y23" s="177"/>
      <c r="Z23" s="177"/>
      <c r="AA23" s="177"/>
      <c r="AB23" s="183">
        <v>35.799999999999997</v>
      </c>
      <c r="AC23" s="176" t="s">
        <v>770</v>
      </c>
      <c r="AD23" s="182">
        <v>5.4</v>
      </c>
      <c r="AE23" s="176">
        <v>-2.7</v>
      </c>
      <c r="AF23" s="182">
        <v>4.9000000000000004</v>
      </c>
      <c r="AG23" s="182">
        <v>7</v>
      </c>
      <c r="AH23" s="182">
        <v>5.4</v>
      </c>
      <c r="AI23" s="204">
        <v>21.5</v>
      </c>
      <c r="AJ23" s="205">
        <v>3.3176999999999999</v>
      </c>
      <c r="AK23" s="176">
        <v>9</v>
      </c>
      <c r="AL23" s="176" t="s">
        <v>776</v>
      </c>
      <c r="AM23" s="182">
        <f>SUM(AD23:AI23)</f>
        <v>41.5</v>
      </c>
      <c r="AN23" s="185" t="s">
        <v>620</v>
      </c>
      <c r="AO23" s="183" t="s">
        <v>999</v>
      </c>
      <c r="AP23" s="183" t="s">
        <v>255</v>
      </c>
      <c r="AQ23" s="186">
        <f t="shared" si="0"/>
        <v>21.5</v>
      </c>
      <c r="AR23" s="187">
        <v>1</v>
      </c>
    </row>
    <row r="24" spans="1:44">
      <c r="A24" s="176">
        <v>210</v>
      </c>
      <c r="B24" s="180" t="s">
        <v>1000</v>
      </c>
      <c r="C24" s="176" t="s">
        <v>779</v>
      </c>
      <c r="D24" s="176" t="s">
        <v>38</v>
      </c>
      <c r="E24" s="176" t="s">
        <v>56</v>
      </c>
      <c r="F24" s="176" t="s">
        <v>57</v>
      </c>
      <c r="G24" s="176" t="s">
        <v>9</v>
      </c>
      <c r="H24" s="176" t="s">
        <v>19</v>
      </c>
      <c r="I24" s="176" t="s">
        <v>743</v>
      </c>
      <c r="J24" s="176" t="s">
        <v>763</v>
      </c>
      <c r="K24" s="176" t="s">
        <v>265</v>
      </c>
      <c r="L24" s="185" t="s">
        <v>754</v>
      </c>
      <c r="M24" s="189">
        <v>38.799999999999997</v>
      </c>
      <c r="N24" s="182">
        <v>7.1</v>
      </c>
      <c r="O24" s="182">
        <v>4.9000000000000004</v>
      </c>
      <c r="P24" s="182">
        <v>10.4</v>
      </c>
      <c r="Q24" s="182">
        <v>4.8</v>
      </c>
      <c r="R24" s="182">
        <v>4.5</v>
      </c>
      <c r="S24" s="182">
        <v>-10.1</v>
      </c>
      <c r="T24" s="182">
        <v>7.3</v>
      </c>
      <c r="U24" s="182" t="s">
        <v>47</v>
      </c>
      <c r="V24" s="182">
        <v>21.1</v>
      </c>
      <c r="W24" s="182">
        <v>17.399999999999999</v>
      </c>
      <c r="X24" s="182">
        <v>9.1999999999999993</v>
      </c>
      <c r="Y24" s="182">
        <v>3</v>
      </c>
      <c r="Z24" s="176">
        <v>6.6</v>
      </c>
      <c r="AA24" s="182">
        <v>10.6</v>
      </c>
      <c r="AB24" s="182">
        <v>-2.2000000000000002</v>
      </c>
      <c r="AC24" s="182">
        <v>9.6999999999999993</v>
      </c>
      <c r="AD24" s="182">
        <v>-0.3</v>
      </c>
      <c r="AE24" s="176">
        <v>0.2</v>
      </c>
      <c r="AF24" s="182">
        <v>4.3</v>
      </c>
      <c r="AG24" s="182">
        <v>2.2999999999999998</v>
      </c>
      <c r="AH24" s="182">
        <v>0.2</v>
      </c>
      <c r="AI24" s="206">
        <v>9</v>
      </c>
      <c r="AJ24" s="205">
        <v>6.7920999999999996</v>
      </c>
      <c r="AK24" s="176">
        <v>9</v>
      </c>
      <c r="AL24" s="176" t="s">
        <v>780</v>
      </c>
      <c r="AM24" s="182">
        <f>SUM(V24:AI24)</f>
        <v>91.100000000000009</v>
      </c>
      <c r="AN24" s="185" t="s">
        <v>613</v>
      </c>
      <c r="AO24" s="183" t="s">
        <v>999</v>
      </c>
      <c r="AP24" s="183" t="s">
        <v>255</v>
      </c>
      <c r="AQ24" s="186">
        <f t="shared" si="0"/>
        <v>9</v>
      </c>
      <c r="AR24" s="187">
        <v>1</v>
      </c>
    </row>
    <row r="25" spans="1:44">
      <c r="A25" s="176">
        <v>211</v>
      </c>
      <c r="B25" s="180" t="s">
        <v>1003</v>
      </c>
      <c r="C25" s="176" t="s">
        <v>781</v>
      </c>
      <c r="D25" s="176" t="s">
        <v>38</v>
      </c>
      <c r="E25" s="176" t="s">
        <v>58</v>
      </c>
      <c r="F25" s="176" t="s">
        <v>59</v>
      </c>
      <c r="G25" s="176" t="s">
        <v>9</v>
      </c>
      <c r="H25" s="176" t="s">
        <v>19</v>
      </c>
      <c r="I25" s="176" t="s">
        <v>743</v>
      </c>
      <c r="J25" s="176" t="s">
        <v>763</v>
      </c>
      <c r="K25" s="176" t="s">
        <v>265</v>
      </c>
      <c r="L25" s="185" t="s">
        <v>754</v>
      </c>
      <c r="M25" s="189">
        <v>79.599999999999994</v>
      </c>
      <c r="N25" s="182">
        <v>30.4</v>
      </c>
      <c r="O25" s="182">
        <v>18.5</v>
      </c>
      <c r="P25" s="182">
        <v>15.4</v>
      </c>
      <c r="Q25" s="182">
        <v>17.100000000000001</v>
      </c>
      <c r="R25" s="182">
        <v>9.8000000000000007</v>
      </c>
      <c r="S25" s="182">
        <v>-4.7</v>
      </c>
      <c r="T25" s="182">
        <v>6.3</v>
      </c>
      <c r="U25" s="182">
        <v>7.5</v>
      </c>
      <c r="V25" s="182">
        <v>10.1</v>
      </c>
      <c r="W25" s="182">
        <v>9.6999999999999993</v>
      </c>
      <c r="X25" s="182">
        <v>4.7</v>
      </c>
      <c r="Y25" s="182">
        <v>-0.7</v>
      </c>
      <c r="Z25" s="176">
        <v>2.5</v>
      </c>
      <c r="AA25" s="182">
        <v>10</v>
      </c>
      <c r="AB25" s="182">
        <v>-2.1</v>
      </c>
      <c r="AC25" s="182">
        <v>8</v>
      </c>
      <c r="AD25" s="182">
        <v>-1.1000000000000001</v>
      </c>
      <c r="AE25" s="176">
        <v>-0.7</v>
      </c>
      <c r="AF25" s="182">
        <v>3.7</v>
      </c>
      <c r="AG25" s="182">
        <v>1.3</v>
      </c>
      <c r="AH25" s="182">
        <v>1</v>
      </c>
      <c r="AI25" s="206">
        <v>9.8000000000000007</v>
      </c>
      <c r="AJ25" s="205">
        <v>9.1605000000000008</v>
      </c>
      <c r="AK25" s="176">
        <v>9</v>
      </c>
      <c r="AL25" s="176"/>
      <c r="AM25" s="182">
        <f>SUM(L25:AI25)</f>
        <v>236.10000000000005</v>
      </c>
      <c r="AN25" s="185" t="s">
        <v>19</v>
      </c>
      <c r="AO25" s="183" t="s">
        <v>999</v>
      </c>
      <c r="AP25" s="183" t="s">
        <v>255</v>
      </c>
      <c r="AQ25" s="186">
        <f t="shared" si="0"/>
        <v>9.8000000000000007</v>
      </c>
      <c r="AR25" s="187">
        <v>1</v>
      </c>
    </row>
    <row r="26" spans="1:44">
      <c r="A26" s="176">
        <v>212</v>
      </c>
      <c r="B26" s="180" t="s">
        <v>1003</v>
      </c>
      <c r="C26" s="176" t="s">
        <v>782</v>
      </c>
      <c r="D26" s="176" t="s">
        <v>38</v>
      </c>
      <c r="E26" s="176" t="s">
        <v>60</v>
      </c>
      <c r="F26" s="176" t="s">
        <v>61</v>
      </c>
      <c r="G26" s="176" t="s">
        <v>9</v>
      </c>
      <c r="H26" s="176" t="s">
        <v>19</v>
      </c>
      <c r="I26" s="176" t="s">
        <v>743</v>
      </c>
      <c r="J26" s="176" t="s">
        <v>763</v>
      </c>
      <c r="K26" s="176" t="s">
        <v>265</v>
      </c>
      <c r="L26" s="182">
        <v>21.7</v>
      </c>
      <c r="M26" s="182">
        <v>28.3</v>
      </c>
      <c r="N26" s="182">
        <v>11.7</v>
      </c>
      <c r="O26" s="182">
        <v>6.5</v>
      </c>
      <c r="P26" s="182">
        <v>12.8</v>
      </c>
      <c r="Q26" s="182">
        <v>9.6999999999999993</v>
      </c>
      <c r="R26" s="182">
        <v>7.7</v>
      </c>
      <c r="S26" s="182">
        <v>-5.6</v>
      </c>
      <c r="T26" s="182">
        <v>6.4</v>
      </c>
      <c r="U26" s="182">
        <v>7.7</v>
      </c>
      <c r="V26" s="182">
        <v>16.7</v>
      </c>
      <c r="W26" s="182">
        <v>6.2</v>
      </c>
      <c r="X26" s="182">
        <v>4.5999999999999996</v>
      </c>
      <c r="Y26" s="182">
        <v>1.1000000000000001</v>
      </c>
      <c r="Z26" s="176">
        <v>6.3</v>
      </c>
      <c r="AA26" s="182">
        <v>15</v>
      </c>
      <c r="AB26" s="182">
        <v>0.6</v>
      </c>
      <c r="AC26" s="182">
        <v>11.2</v>
      </c>
      <c r="AD26" s="182">
        <v>0.2</v>
      </c>
      <c r="AE26" s="176">
        <v>0.9</v>
      </c>
      <c r="AF26" s="182">
        <v>6.7</v>
      </c>
      <c r="AG26" s="182">
        <v>5.4</v>
      </c>
      <c r="AH26" s="182">
        <v>9</v>
      </c>
      <c r="AI26" s="206">
        <v>11.6</v>
      </c>
      <c r="AJ26" s="205">
        <v>5.5761000000000003</v>
      </c>
      <c r="AK26" s="176">
        <v>9</v>
      </c>
      <c r="AL26" s="176"/>
      <c r="AM26" s="182">
        <f>SUM(L26:AI26)</f>
        <v>202.39999999999998</v>
      </c>
      <c r="AN26" s="185" t="s">
        <v>19</v>
      </c>
      <c r="AO26" s="183" t="s">
        <v>999</v>
      </c>
      <c r="AP26" s="183" t="s">
        <v>255</v>
      </c>
      <c r="AQ26" s="186">
        <f t="shared" si="0"/>
        <v>11.6</v>
      </c>
      <c r="AR26" s="187">
        <v>1</v>
      </c>
    </row>
    <row r="27" spans="1:44">
      <c r="A27" s="176">
        <v>213</v>
      </c>
      <c r="B27" s="180"/>
      <c r="C27" s="176" t="s">
        <v>783</v>
      </c>
      <c r="D27" s="176" t="s">
        <v>38</v>
      </c>
      <c r="E27" s="176" t="s">
        <v>62</v>
      </c>
      <c r="F27" s="176" t="s">
        <v>63</v>
      </c>
      <c r="G27" s="176" t="s">
        <v>9</v>
      </c>
      <c r="H27" s="176" t="s">
        <v>19</v>
      </c>
      <c r="I27" s="176" t="s">
        <v>743</v>
      </c>
      <c r="J27" s="176" t="s">
        <v>763</v>
      </c>
      <c r="K27" s="176" t="s">
        <v>265</v>
      </c>
      <c r="L27" s="182">
        <v>13.6</v>
      </c>
      <c r="M27" s="182">
        <v>59.1</v>
      </c>
      <c r="N27" s="182">
        <v>0.2</v>
      </c>
      <c r="O27" s="182">
        <v>2.7</v>
      </c>
      <c r="P27" s="182">
        <v>16.899999999999999</v>
      </c>
      <c r="Q27" s="182">
        <v>7.4</v>
      </c>
      <c r="R27" s="182">
        <v>8.6999999999999993</v>
      </c>
      <c r="S27" s="182">
        <v>8.9</v>
      </c>
      <c r="T27" s="182">
        <v>15.1</v>
      </c>
      <c r="U27" s="182">
        <v>8</v>
      </c>
      <c r="V27" s="182">
        <v>21</v>
      </c>
      <c r="W27" s="182">
        <v>10.3</v>
      </c>
      <c r="X27" s="182">
        <v>1.9</v>
      </c>
      <c r="Y27" s="183" t="s">
        <v>756</v>
      </c>
      <c r="Z27" s="177"/>
      <c r="AA27" s="177"/>
      <c r="AB27" s="183">
        <v>8.3000000000000007</v>
      </c>
      <c r="AC27" s="176">
        <v>9.1</v>
      </c>
      <c r="AD27" s="182">
        <v>-2.8</v>
      </c>
      <c r="AE27" s="176">
        <v>0.7</v>
      </c>
      <c r="AF27" s="182">
        <v>3.6</v>
      </c>
      <c r="AG27" s="182"/>
      <c r="AH27" s="190" t="s">
        <v>47</v>
      </c>
      <c r="AI27" s="206">
        <v>10.199999999999999</v>
      </c>
      <c r="AJ27" s="205">
        <v>4.8917000000000002</v>
      </c>
      <c r="AK27" s="176">
        <v>9</v>
      </c>
      <c r="AL27" s="176" t="s">
        <v>1006</v>
      </c>
      <c r="AM27" s="182">
        <f>SUM(AI27:AI27)</f>
        <v>10.199999999999999</v>
      </c>
      <c r="AN27" s="185"/>
      <c r="AO27" s="183"/>
      <c r="AP27" s="183" t="s">
        <v>255</v>
      </c>
      <c r="AQ27" s="186">
        <f t="shared" si="0"/>
        <v>10.199999999999999</v>
      </c>
      <c r="AR27" s="187">
        <v>1</v>
      </c>
    </row>
    <row r="28" spans="1:44">
      <c r="A28" s="176">
        <v>214</v>
      </c>
      <c r="B28" s="180"/>
      <c r="C28" s="176" t="s">
        <v>784</v>
      </c>
      <c r="D28" s="176" t="s">
        <v>38</v>
      </c>
      <c r="E28" s="176" t="s">
        <v>785</v>
      </c>
      <c r="F28" s="176" t="s">
        <v>786</v>
      </c>
      <c r="G28" s="176" t="s">
        <v>9</v>
      </c>
      <c r="H28" s="176" t="s">
        <v>10</v>
      </c>
      <c r="I28" s="176" t="s">
        <v>64</v>
      </c>
      <c r="J28" s="176" t="s">
        <v>763</v>
      </c>
      <c r="K28" s="176" t="s">
        <v>265</v>
      </c>
      <c r="L28" s="176"/>
      <c r="M28" s="176"/>
      <c r="N28" s="182">
        <v>5.3</v>
      </c>
      <c r="O28" s="183" t="s">
        <v>754</v>
      </c>
      <c r="P28" s="183">
        <v>13.9</v>
      </c>
      <c r="Q28" s="182">
        <v>3.6</v>
      </c>
      <c r="R28" s="182">
        <v>1.3</v>
      </c>
      <c r="S28" s="182">
        <v>-5.8</v>
      </c>
      <c r="T28" s="182">
        <v>6.3</v>
      </c>
      <c r="U28" s="183" t="s">
        <v>754</v>
      </c>
      <c r="V28" s="183">
        <v>11.1</v>
      </c>
      <c r="W28" s="173"/>
      <c r="X28" s="177"/>
      <c r="Y28" s="177"/>
      <c r="Z28" s="177"/>
      <c r="AA28" s="177"/>
      <c r="AB28" s="177"/>
      <c r="AC28" s="177"/>
      <c r="AD28" s="177"/>
      <c r="AE28" s="177"/>
      <c r="AF28" s="183"/>
      <c r="AG28" s="183"/>
      <c r="AH28" s="183"/>
      <c r="AI28" s="206" t="s">
        <v>247</v>
      </c>
      <c r="AJ28" s="205">
        <v>3.8134000000000001</v>
      </c>
      <c r="AK28" s="176">
        <v>59</v>
      </c>
      <c r="AL28" s="176" t="s">
        <v>20</v>
      </c>
      <c r="AM28" s="182"/>
      <c r="AN28" s="185"/>
      <c r="AO28" s="183"/>
      <c r="AP28" s="183"/>
      <c r="AQ28" s="186"/>
      <c r="AR28" s="187"/>
    </row>
    <row r="29" spans="1:44">
      <c r="A29" s="176">
        <v>215</v>
      </c>
      <c r="B29" s="180"/>
      <c r="C29" s="176" t="s">
        <v>787</v>
      </c>
      <c r="D29" s="176" t="s">
        <v>38</v>
      </c>
      <c r="E29" s="176" t="s">
        <v>65</v>
      </c>
      <c r="F29" s="176" t="s">
        <v>66</v>
      </c>
      <c r="G29" s="176" t="s">
        <v>9</v>
      </c>
      <c r="H29" s="176" t="s">
        <v>19</v>
      </c>
      <c r="I29" s="176" t="s">
        <v>743</v>
      </c>
      <c r="J29" s="176" t="s">
        <v>54</v>
      </c>
      <c r="K29" s="176" t="s">
        <v>265</v>
      </c>
      <c r="L29" s="182">
        <v>45.3</v>
      </c>
      <c r="M29" s="182">
        <v>33.4</v>
      </c>
      <c r="N29" s="182">
        <v>30.2</v>
      </c>
      <c r="O29" s="183" t="s">
        <v>754</v>
      </c>
      <c r="P29" s="183">
        <v>46.1</v>
      </c>
      <c r="Q29" s="182">
        <v>19.8</v>
      </c>
      <c r="R29" s="182">
        <v>18.8</v>
      </c>
      <c r="S29" s="182">
        <v>-2.2000000000000002</v>
      </c>
      <c r="T29" s="182">
        <v>12.5</v>
      </c>
      <c r="U29" s="182">
        <v>4</v>
      </c>
      <c r="V29" s="182">
        <v>16</v>
      </c>
      <c r="W29" s="182">
        <v>19.100000000000001</v>
      </c>
      <c r="X29" s="182">
        <v>9.1999999999999993</v>
      </c>
      <c r="Y29" s="183" t="s">
        <v>756</v>
      </c>
      <c r="Z29" s="177"/>
      <c r="AA29" s="177"/>
      <c r="AB29" s="183">
        <v>11.5</v>
      </c>
      <c r="AC29" s="173" t="s">
        <v>744</v>
      </c>
      <c r="AD29" s="177"/>
      <c r="AE29" s="177">
        <v>15.5</v>
      </c>
      <c r="AF29" s="173" t="s">
        <v>744</v>
      </c>
      <c r="AG29" s="183"/>
      <c r="AH29" s="183">
        <v>18.5</v>
      </c>
      <c r="AI29" s="206" t="s">
        <v>247</v>
      </c>
      <c r="AJ29" s="205">
        <v>3.5146000000000002</v>
      </c>
      <c r="AK29" s="176">
        <v>8</v>
      </c>
      <c r="AL29" s="176"/>
      <c r="AM29" s="182">
        <f>SUM(L29:AH29)</f>
        <v>297.70000000000005</v>
      </c>
      <c r="AN29" s="185" t="s">
        <v>19</v>
      </c>
      <c r="AO29" s="183" t="s">
        <v>999</v>
      </c>
      <c r="AP29" s="183" t="s">
        <v>545</v>
      </c>
      <c r="AQ29" s="186">
        <f>AH29/AR29</f>
        <v>6.166666666666667</v>
      </c>
      <c r="AR29" s="187">
        <v>3</v>
      </c>
    </row>
    <row r="30" spans="1:44">
      <c r="A30" s="176">
        <v>216</v>
      </c>
      <c r="B30" s="180"/>
      <c r="C30" s="176" t="s">
        <v>788</v>
      </c>
      <c r="D30" s="176" t="s">
        <v>38</v>
      </c>
      <c r="E30" s="176" t="s">
        <v>67</v>
      </c>
      <c r="F30" s="176" t="s">
        <v>68</v>
      </c>
      <c r="G30" s="176" t="s">
        <v>9</v>
      </c>
      <c r="H30" s="176" t="s">
        <v>19</v>
      </c>
      <c r="I30" s="176" t="s">
        <v>743</v>
      </c>
      <c r="J30" s="176" t="s">
        <v>763</v>
      </c>
      <c r="K30" s="176" t="s">
        <v>265</v>
      </c>
      <c r="L30" s="182">
        <v>13.9</v>
      </c>
      <c r="M30" s="182">
        <v>0.6</v>
      </c>
      <c r="N30" s="182">
        <v>2.1</v>
      </c>
      <c r="O30" s="182">
        <v>3.9</v>
      </c>
      <c r="P30" s="182">
        <v>8.6999999999999993</v>
      </c>
      <c r="Q30" s="182">
        <v>3.4</v>
      </c>
      <c r="R30" s="182">
        <v>3.6</v>
      </c>
      <c r="S30" s="182">
        <v>-7.5</v>
      </c>
      <c r="T30" s="182">
        <v>4.7</v>
      </c>
      <c r="U30" s="182">
        <v>1.9</v>
      </c>
      <c r="V30" s="182">
        <v>8.4</v>
      </c>
      <c r="W30" s="182">
        <v>3.3</v>
      </c>
      <c r="X30" s="182">
        <v>1.4</v>
      </c>
      <c r="Y30" s="183" t="s">
        <v>756</v>
      </c>
      <c r="Z30" s="177"/>
      <c r="AA30" s="177"/>
      <c r="AB30" s="183">
        <v>18.600000000000001</v>
      </c>
      <c r="AC30" s="182">
        <v>10</v>
      </c>
      <c r="AD30" s="182">
        <v>-0.4</v>
      </c>
      <c r="AE30" s="176">
        <v>0.7</v>
      </c>
      <c r="AF30" s="182">
        <v>8.5</v>
      </c>
      <c r="AG30" s="182"/>
      <c r="AH30" s="182">
        <v>10</v>
      </c>
      <c r="AI30" s="206">
        <v>9.3000000000000007</v>
      </c>
      <c r="AJ30" s="205">
        <v>3.6562000000000001</v>
      </c>
      <c r="AK30" s="176">
        <v>9</v>
      </c>
      <c r="AL30" s="176" t="s">
        <v>789</v>
      </c>
      <c r="AM30" s="182">
        <f>SUM(L30:AI30)</f>
        <v>105.1</v>
      </c>
      <c r="AN30" s="185" t="s">
        <v>19</v>
      </c>
      <c r="AO30" s="183" t="s">
        <v>999</v>
      </c>
      <c r="AP30" s="183" t="s">
        <v>255</v>
      </c>
      <c r="AQ30" s="186">
        <f>AI30/AR30</f>
        <v>9.3000000000000007</v>
      </c>
      <c r="AR30" s="187">
        <v>1</v>
      </c>
    </row>
    <row r="31" spans="1:44">
      <c r="A31" s="176">
        <v>217</v>
      </c>
      <c r="B31" s="180"/>
      <c r="C31" s="176" t="s">
        <v>790</v>
      </c>
      <c r="D31" s="176" t="s">
        <v>38</v>
      </c>
      <c r="E31" s="176" t="s">
        <v>1047</v>
      </c>
      <c r="F31" s="176" t="s">
        <v>792</v>
      </c>
      <c r="G31" s="176" t="s">
        <v>9</v>
      </c>
      <c r="H31" s="176" t="s">
        <v>10</v>
      </c>
      <c r="I31" s="176" t="s">
        <v>64</v>
      </c>
      <c r="J31" s="176" t="s">
        <v>54</v>
      </c>
      <c r="K31" s="176" t="s">
        <v>265</v>
      </c>
      <c r="L31" s="173"/>
      <c r="M31" s="181"/>
      <c r="N31" s="182">
        <v>3.4</v>
      </c>
      <c r="O31" s="183" t="s">
        <v>754</v>
      </c>
      <c r="P31" s="183">
        <v>14.7</v>
      </c>
      <c r="Q31" s="182">
        <v>5.4</v>
      </c>
      <c r="R31" s="182">
        <v>2.8</v>
      </c>
      <c r="S31" s="182">
        <v>-6.3</v>
      </c>
      <c r="T31" s="182">
        <v>5.0999999999999996</v>
      </c>
      <c r="U31" s="183" t="s">
        <v>754</v>
      </c>
      <c r="V31" s="183">
        <v>7.8</v>
      </c>
      <c r="W31" s="173"/>
      <c r="X31" s="177"/>
      <c r="Y31" s="177"/>
      <c r="Z31" s="177"/>
      <c r="AA31" s="177"/>
      <c r="AB31" s="177"/>
      <c r="AC31" s="177"/>
      <c r="AD31" s="177"/>
      <c r="AE31" s="177"/>
      <c r="AF31" s="183"/>
      <c r="AG31" s="183"/>
      <c r="AH31" s="183"/>
      <c r="AI31" s="206" t="s">
        <v>247</v>
      </c>
      <c r="AJ31" s="205">
        <v>2.4813000000000001</v>
      </c>
      <c r="AK31" s="176">
        <v>59</v>
      </c>
      <c r="AL31" s="176" t="s">
        <v>20</v>
      </c>
      <c r="AM31" s="182"/>
      <c r="AN31" s="185"/>
      <c r="AO31" s="183"/>
      <c r="AP31" s="183"/>
      <c r="AQ31" s="186"/>
      <c r="AR31" s="187"/>
    </row>
    <row r="32" spans="1:44">
      <c r="A32" s="176">
        <v>218</v>
      </c>
      <c r="B32" s="180"/>
      <c r="C32" s="176" t="s">
        <v>793</v>
      </c>
      <c r="D32" s="176" t="s">
        <v>38</v>
      </c>
      <c r="E32" s="176" t="s">
        <v>1048</v>
      </c>
      <c r="F32" s="176" t="s">
        <v>69</v>
      </c>
      <c r="G32" s="176" t="s">
        <v>70</v>
      </c>
      <c r="H32" s="176" t="s">
        <v>19</v>
      </c>
      <c r="I32" s="176" t="s">
        <v>64</v>
      </c>
      <c r="J32" s="176" t="s">
        <v>763</v>
      </c>
      <c r="K32" s="176" t="s">
        <v>265</v>
      </c>
      <c r="L32" s="185" t="s">
        <v>754</v>
      </c>
      <c r="M32" s="189">
        <v>25.9</v>
      </c>
      <c r="N32" s="182">
        <v>4.9000000000000004</v>
      </c>
      <c r="O32" s="183" t="s">
        <v>754</v>
      </c>
      <c r="P32" s="183">
        <v>21.9</v>
      </c>
      <c r="Q32" s="182">
        <v>4.8</v>
      </c>
      <c r="R32" s="182">
        <v>8.6999999999999993</v>
      </c>
      <c r="S32" s="182">
        <v>-2.1</v>
      </c>
      <c r="T32" s="182">
        <v>13.3</v>
      </c>
      <c r="U32" s="182">
        <v>7</v>
      </c>
      <c r="V32" s="182">
        <v>11.3</v>
      </c>
      <c r="W32" s="183" t="s">
        <v>775</v>
      </c>
      <c r="X32" s="177"/>
      <c r="Y32" s="177"/>
      <c r="Z32" s="177"/>
      <c r="AA32" s="177"/>
      <c r="AB32" s="183">
        <v>23.8</v>
      </c>
      <c r="AC32" s="176">
        <v>9.6999999999999993</v>
      </c>
      <c r="AD32" s="182">
        <v>-0.3</v>
      </c>
      <c r="AE32" s="182">
        <v>2</v>
      </c>
      <c r="AF32" s="185"/>
      <c r="AG32" s="183"/>
      <c r="AH32" s="185">
        <v>8.3000000000000007</v>
      </c>
      <c r="AI32" s="206">
        <v>14.9</v>
      </c>
      <c r="AJ32" s="205">
        <v>2.8700999999999999</v>
      </c>
      <c r="AK32" s="176">
        <v>9</v>
      </c>
      <c r="AL32" s="176"/>
      <c r="AM32" s="182">
        <f>SUM(L32:AI32)</f>
        <v>154.1</v>
      </c>
      <c r="AN32" s="185" t="s">
        <v>19</v>
      </c>
      <c r="AO32" s="183" t="s">
        <v>999</v>
      </c>
      <c r="AP32" s="183" t="s">
        <v>255</v>
      </c>
      <c r="AQ32" s="186">
        <f>AI32/AR32</f>
        <v>14.9</v>
      </c>
      <c r="AR32" s="187">
        <v>1</v>
      </c>
    </row>
    <row r="33" spans="1:44">
      <c r="A33" s="176">
        <v>219</v>
      </c>
      <c r="B33" s="180" t="s">
        <v>1003</v>
      </c>
      <c r="C33" s="176" t="s">
        <v>795</v>
      </c>
      <c r="D33" s="176" t="s">
        <v>38</v>
      </c>
      <c r="E33" s="176" t="s">
        <v>71</v>
      </c>
      <c r="F33" s="176" t="s">
        <v>72</v>
      </c>
      <c r="G33" s="176" t="s">
        <v>12</v>
      </c>
      <c r="H33" s="176" t="s">
        <v>73</v>
      </c>
      <c r="I33" s="176" t="s">
        <v>743</v>
      </c>
      <c r="J33" s="176" t="s">
        <v>763</v>
      </c>
      <c r="K33" s="176" t="s">
        <v>265</v>
      </c>
      <c r="L33" s="173"/>
      <c r="M33" s="181"/>
      <c r="N33" s="181"/>
      <c r="O33" s="183" t="s">
        <v>754</v>
      </c>
      <c r="P33" s="183">
        <v>23.6</v>
      </c>
      <c r="Q33" s="182" t="s">
        <v>770</v>
      </c>
      <c r="R33" s="182" t="s">
        <v>770</v>
      </c>
      <c r="S33" s="182">
        <v>-2.7</v>
      </c>
      <c r="T33" s="182">
        <v>8.6</v>
      </c>
      <c r="U33" s="182">
        <v>2.9</v>
      </c>
      <c r="V33" s="182">
        <v>18.5</v>
      </c>
      <c r="W33" s="182">
        <v>16.600000000000001</v>
      </c>
      <c r="X33" s="182">
        <v>17.600000000000001</v>
      </c>
      <c r="Y33" s="182">
        <v>2.9</v>
      </c>
      <c r="Z33" s="176">
        <v>-2.1</v>
      </c>
      <c r="AA33" s="182">
        <v>8.1</v>
      </c>
      <c r="AB33" s="182">
        <v>-3.3</v>
      </c>
      <c r="AC33" s="182">
        <v>10.9</v>
      </c>
      <c r="AD33" s="182">
        <v>-1.8</v>
      </c>
      <c r="AE33" s="176">
        <v>-3.4</v>
      </c>
      <c r="AF33" s="182">
        <v>8</v>
      </c>
      <c r="AG33" s="182">
        <v>2.2999999999999998</v>
      </c>
      <c r="AH33" s="182">
        <v>0.3</v>
      </c>
      <c r="AI33" s="204">
        <v>9.5</v>
      </c>
      <c r="AJ33" s="207">
        <v>7.3834999999999997</v>
      </c>
      <c r="AK33" s="176">
        <v>9</v>
      </c>
      <c r="AL33" s="176" t="s">
        <v>796</v>
      </c>
      <c r="AM33" s="182">
        <f>SUM(L33:AI33)</f>
        <v>116.5</v>
      </c>
      <c r="AN33" s="185" t="s">
        <v>73</v>
      </c>
      <c r="AO33" s="183" t="s">
        <v>999</v>
      </c>
      <c r="AP33" s="183" t="s">
        <v>255</v>
      </c>
      <c r="AQ33" s="186">
        <f>AI33/AR33</f>
        <v>9.5</v>
      </c>
      <c r="AR33" s="187">
        <v>1</v>
      </c>
    </row>
    <row r="34" spans="1:44">
      <c r="A34" s="176">
        <v>220</v>
      </c>
      <c r="B34" s="180"/>
      <c r="C34" s="176" t="s">
        <v>797</v>
      </c>
      <c r="D34" s="176" t="s">
        <v>38</v>
      </c>
      <c r="E34" s="176" t="s">
        <v>74</v>
      </c>
      <c r="F34" s="176" t="s">
        <v>75</v>
      </c>
      <c r="G34" s="176" t="s">
        <v>12</v>
      </c>
      <c r="H34" s="176" t="s">
        <v>19</v>
      </c>
      <c r="I34" s="176" t="s">
        <v>743</v>
      </c>
      <c r="J34" s="176" t="s">
        <v>54</v>
      </c>
      <c r="K34" s="176" t="s">
        <v>265</v>
      </c>
      <c r="L34" s="182">
        <v>39.6</v>
      </c>
      <c r="M34" s="182">
        <v>22.9</v>
      </c>
      <c r="N34" s="182">
        <v>24.9</v>
      </c>
      <c r="O34" s="182">
        <v>12.6</v>
      </c>
      <c r="P34" s="182">
        <v>20.8</v>
      </c>
      <c r="Q34" s="182">
        <v>35.299999999999997</v>
      </c>
      <c r="R34" s="182">
        <v>34</v>
      </c>
      <c r="S34" s="182">
        <v>-2</v>
      </c>
      <c r="T34" s="182">
        <v>59</v>
      </c>
      <c r="U34" s="182">
        <v>17.100000000000001</v>
      </c>
      <c r="V34" s="182" t="s">
        <v>770</v>
      </c>
      <c r="W34" s="182" t="s">
        <v>770</v>
      </c>
      <c r="X34" s="182" t="s">
        <v>770</v>
      </c>
      <c r="Y34" s="183" t="s">
        <v>756</v>
      </c>
      <c r="Z34" s="177"/>
      <c r="AA34" s="177"/>
      <c r="AB34" s="183" t="s">
        <v>770</v>
      </c>
      <c r="AC34" s="173" t="s">
        <v>744</v>
      </c>
      <c r="AD34" s="177"/>
      <c r="AE34" s="177">
        <v>66.900000000000006</v>
      </c>
      <c r="AF34" s="173" t="s">
        <v>744</v>
      </c>
      <c r="AG34" s="208"/>
      <c r="AH34" s="208">
        <v>30.8</v>
      </c>
      <c r="AI34" s="204" t="s">
        <v>247</v>
      </c>
      <c r="AJ34" s="205">
        <v>2.2576000000000001</v>
      </c>
      <c r="AK34" s="176">
        <v>8</v>
      </c>
      <c r="AL34" s="176" t="s">
        <v>798</v>
      </c>
      <c r="AM34" s="182">
        <f>SUM(AE34:AH34)</f>
        <v>97.7</v>
      </c>
      <c r="AN34" s="185" t="s">
        <v>619</v>
      </c>
      <c r="AO34" s="183" t="s">
        <v>999</v>
      </c>
      <c r="AP34" s="183" t="s">
        <v>545</v>
      </c>
      <c r="AQ34" s="186">
        <f t="shared" ref="AQ34:AQ45" si="1">AH34/AR34</f>
        <v>10.266666666666667</v>
      </c>
      <c r="AR34" s="187">
        <v>3</v>
      </c>
    </row>
    <row r="35" spans="1:44">
      <c r="A35" s="176">
        <v>221</v>
      </c>
      <c r="B35" s="180"/>
      <c r="C35" s="176" t="s">
        <v>799</v>
      </c>
      <c r="D35" s="176" t="s">
        <v>38</v>
      </c>
      <c r="E35" s="176" t="s">
        <v>76</v>
      </c>
      <c r="F35" s="176" t="s">
        <v>77</v>
      </c>
      <c r="G35" s="176" t="s">
        <v>12</v>
      </c>
      <c r="H35" s="176" t="s">
        <v>10</v>
      </c>
      <c r="I35" s="176" t="s">
        <v>743</v>
      </c>
      <c r="J35" s="176" t="s">
        <v>763</v>
      </c>
      <c r="K35" s="176" t="s">
        <v>265</v>
      </c>
      <c r="L35" s="177"/>
      <c r="M35" s="177"/>
      <c r="N35" s="182">
        <v>10.199999999999999</v>
      </c>
      <c r="O35" s="183" t="s">
        <v>754</v>
      </c>
      <c r="P35" s="183">
        <v>23.4</v>
      </c>
      <c r="Q35" s="182">
        <v>10.6</v>
      </c>
      <c r="R35" s="182">
        <v>7.5</v>
      </c>
      <c r="S35" s="182">
        <v>-2.4</v>
      </c>
      <c r="T35" s="182">
        <v>11.1</v>
      </c>
      <c r="U35" s="182">
        <v>1.7</v>
      </c>
      <c r="V35" s="182">
        <v>15.7</v>
      </c>
      <c r="W35" s="182">
        <v>11.8</v>
      </c>
      <c r="X35" s="182">
        <v>3.4</v>
      </c>
      <c r="Y35" s="183" t="s">
        <v>756</v>
      </c>
      <c r="Z35" s="177"/>
      <c r="AA35" s="177"/>
      <c r="AB35" s="183">
        <v>40.5</v>
      </c>
      <c r="AC35" s="176">
        <v>10.7</v>
      </c>
      <c r="AD35" s="182">
        <v>4.7</v>
      </c>
      <c r="AE35" s="176">
        <v>5.9</v>
      </c>
      <c r="AF35" s="185">
        <v>10.7</v>
      </c>
      <c r="AG35" s="182">
        <v>-0.7</v>
      </c>
      <c r="AH35" s="183">
        <v>11.9</v>
      </c>
      <c r="AI35" s="206" t="s">
        <v>247</v>
      </c>
      <c r="AJ35" s="205">
        <v>4.2553000000000001</v>
      </c>
      <c r="AK35" s="176">
        <v>8</v>
      </c>
      <c r="AL35" s="176" t="s">
        <v>800</v>
      </c>
      <c r="AM35" s="182">
        <f>SUM(L35:AH35)</f>
        <v>176.7</v>
      </c>
      <c r="AN35" s="185" t="s">
        <v>10</v>
      </c>
      <c r="AO35" s="183" t="s">
        <v>999</v>
      </c>
      <c r="AP35" s="183" t="s">
        <v>545</v>
      </c>
      <c r="AQ35" s="186">
        <f t="shared" si="1"/>
        <v>11.9</v>
      </c>
      <c r="AR35" s="187">
        <v>1</v>
      </c>
    </row>
    <row r="36" spans="1:44">
      <c r="A36" s="176">
        <v>222</v>
      </c>
      <c r="B36" s="180"/>
      <c r="C36" s="176" t="s">
        <v>801</v>
      </c>
      <c r="D36" s="176" t="s">
        <v>38</v>
      </c>
      <c r="E36" s="176" t="s">
        <v>78</v>
      </c>
      <c r="F36" s="176" t="s">
        <v>79</v>
      </c>
      <c r="G36" s="176" t="s">
        <v>9</v>
      </c>
      <c r="H36" s="176" t="s">
        <v>10</v>
      </c>
      <c r="I36" s="176" t="s">
        <v>743</v>
      </c>
      <c r="J36" s="176" t="s">
        <v>54</v>
      </c>
      <c r="K36" s="176" t="s">
        <v>265</v>
      </c>
      <c r="L36" s="177"/>
      <c r="M36" s="177"/>
      <c r="N36" s="182">
        <v>18</v>
      </c>
      <c r="O36" s="182">
        <v>13.3</v>
      </c>
      <c r="P36" s="182">
        <v>23.3</v>
      </c>
      <c r="Q36" s="182">
        <v>13.2</v>
      </c>
      <c r="R36" s="182" t="s">
        <v>770</v>
      </c>
      <c r="S36" s="182">
        <v>9.8000000000000007</v>
      </c>
      <c r="T36" s="182">
        <v>27</v>
      </c>
      <c r="U36" s="182">
        <v>13.6</v>
      </c>
      <c r="V36" s="182">
        <v>28.3</v>
      </c>
      <c r="W36" s="182">
        <v>31.3</v>
      </c>
      <c r="X36" s="182">
        <v>23.5</v>
      </c>
      <c r="Y36" s="177"/>
      <c r="Z36" s="177"/>
      <c r="AA36" s="177"/>
      <c r="AB36" s="183" t="s">
        <v>47</v>
      </c>
      <c r="AC36" s="173" t="s">
        <v>744</v>
      </c>
      <c r="AD36" s="177"/>
      <c r="AE36" s="177">
        <v>23.1</v>
      </c>
      <c r="AF36" s="173" t="s">
        <v>744</v>
      </c>
      <c r="AG36" s="183"/>
      <c r="AH36" s="183">
        <v>23.7</v>
      </c>
      <c r="AI36" s="206" t="s">
        <v>247</v>
      </c>
      <c r="AJ36" s="205">
        <v>2.3767999999999998</v>
      </c>
      <c r="AK36" s="176">
        <v>8</v>
      </c>
      <c r="AL36" s="176" t="s">
        <v>802</v>
      </c>
      <c r="AM36" s="182">
        <f>SUM(AE36:AH36)</f>
        <v>46.8</v>
      </c>
      <c r="AN36" s="185" t="s">
        <v>619</v>
      </c>
      <c r="AO36" s="183" t="s">
        <v>999</v>
      </c>
      <c r="AP36" s="183" t="s">
        <v>545</v>
      </c>
      <c r="AQ36" s="186">
        <f t="shared" si="1"/>
        <v>7.8999999999999995</v>
      </c>
      <c r="AR36" s="187">
        <v>3</v>
      </c>
    </row>
    <row r="37" spans="1:44">
      <c r="A37" s="176">
        <v>223</v>
      </c>
      <c r="B37" s="180"/>
      <c r="C37" s="176" t="s">
        <v>803</v>
      </c>
      <c r="D37" s="176" t="s">
        <v>38</v>
      </c>
      <c r="E37" s="176" t="s">
        <v>80</v>
      </c>
      <c r="F37" s="176" t="s">
        <v>81</v>
      </c>
      <c r="G37" s="176" t="s">
        <v>9</v>
      </c>
      <c r="H37" s="176" t="s">
        <v>10</v>
      </c>
      <c r="I37" s="176" t="s">
        <v>743</v>
      </c>
      <c r="J37" s="176" t="s">
        <v>763</v>
      </c>
      <c r="K37" s="176" t="s">
        <v>270</v>
      </c>
      <c r="L37" s="177"/>
      <c r="M37" s="177"/>
      <c r="N37" s="182">
        <v>6.1</v>
      </c>
      <c r="O37" s="182" t="s">
        <v>770</v>
      </c>
      <c r="P37" s="182" t="s">
        <v>770</v>
      </c>
      <c r="Q37" s="182">
        <v>26.1</v>
      </c>
      <c r="R37" s="182">
        <v>5.9</v>
      </c>
      <c r="S37" s="182">
        <v>-6</v>
      </c>
      <c r="T37" s="182">
        <v>12.8</v>
      </c>
      <c r="U37" s="182">
        <v>2.8</v>
      </c>
      <c r="V37" s="182">
        <v>16.600000000000001</v>
      </c>
      <c r="W37" s="182">
        <v>6.2</v>
      </c>
      <c r="X37" s="182">
        <v>1.6</v>
      </c>
      <c r="Y37" s="183" t="s">
        <v>756</v>
      </c>
      <c r="Z37" s="177"/>
      <c r="AA37" s="177"/>
      <c r="AB37" s="183">
        <v>16.600000000000001</v>
      </c>
      <c r="AC37" s="173" t="s">
        <v>744</v>
      </c>
      <c r="AD37" s="177"/>
      <c r="AE37" s="177">
        <v>17.899999999999999</v>
      </c>
      <c r="AF37" s="173" t="s">
        <v>744</v>
      </c>
      <c r="AG37" s="183"/>
      <c r="AH37" s="183">
        <v>16.2</v>
      </c>
      <c r="AI37" s="206" t="s">
        <v>247</v>
      </c>
      <c r="AJ37" s="205">
        <v>2.0827</v>
      </c>
      <c r="AK37" s="176">
        <v>8</v>
      </c>
      <c r="AL37" s="176" t="s">
        <v>804</v>
      </c>
      <c r="AM37" s="182">
        <f>SUM(Q37:AH37)</f>
        <v>116.7</v>
      </c>
      <c r="AN37" s="185" t="s">
        <v>31</v>
      </c>
      <c r="AO37" s="183" t="s">
        <v>999</v>
      </c>
      <c r="AP37" s="183" t="s">
        <v>545</v>
      </c>
      <c r="AQ37" s="186">
        <f t="shared" si="1"/>
        <v>5.3999999999999995</v>
      </c>
      <c r="AR37" s="187">
        <v>3</v>
      </c>
    </row>
    <row r="38" spans="1:44">
      <c r="A38" s="176">
        <v>224</v>
      </c>
      <c r="B38" s="180"/>
      <c r="C38" s="176" t="s">
        <v>805</v>
      </c>
      <c r="D38" s="176" t="s">
        <v>38</v>
      </c>
      <c r="E38" s="176" t="s">
        <v>82</v>
      </c>
      <c r="F38" s="176" t="s">
        <v>83</v>
      </c>
      <c r="G38" s="176" t="s">
        <v>9</v>
      </c>
      <c r="H38" s="176" t="s">
        <v>10</v>
      </c>
      <c r="I38" s="176" t="s">
        <v>743</v>
      </c>
      <c r="J38" s="176" t="s">
        <v>763</v>
      </c>
      <c r="K38" s="176" t="s">
        <v>270</v>
      </c>
      <c r="L38" s="177"/>
      <c r="M38" s="177"/>
      <c r="N38" s="182">
        <v>38.4</v>
      </c>
      <c r="O38" s="182">
        <v>12.8</v>
      </c>
      <c r="P38" s="182">
        <v>4.3</v>
      </c>
      <c r="Q38" s="182">
        <v>10.8</v>
      </c>
      <c r="R38" s="182">
        <v>4.3</v>
      </c>
      <c r="S38" s="182">
        <v>2.9</v>
      </c>
      <c r="T38" s="182">
        <v>19.399999999999999</v>
      </c>
      <c r="U38" s="182">
        <v>-7.8</v>
      </c>
      <c r="V38" s="182">
        <v>15.4</v>
      </c>
      <c r="W38" s="182">
        <v>-2.6</v>
      </c>
      <c r="X38" s="182">
        <v>0.4</v>
      </c>
      <c r="Y38" s="183" t="s">
        <v>756</v>
      </c>
      <c r="Z38" s="177"/>
      <c r="AA38" s="177"/>
      <c r="AB38" s="183">
        <v>16.8</v>
      </c>
      <c r="AC38" s="173" t="s">
        <v>744</v>
      </c>
      <c r="AD38" s="177"/>
      <c r="AE38" s="177">
        <v>13.3</v>
      </c>
      <c r="AF38" s="173" t="s">
        <v>744</v>
      </c>
      <c r="AG38" s="183"/>
      <c r="AH38" s="183">
        <v>19.399999999999999</v>
      </c>
      <c r="AI38" s="206" t="s">
        <v>247</v>
      </c>
      <c r="AJ38" s="205">
        <v>3.8910999999999998</v>
      </c>
      <c r="AK38" s="176">
        <v>8</v>
      </c>
      <c r="AL38" s="176"/>
      <c r="AM38" s="182">
        <f>SUM(L38:AH38)</f>
        <v>147.80000000000004</v>
      </c>
      <c r="AN38" s="185" t="s">
        <v>10</v>
      </c>
      <c r="AO38" s="183" t="s">
        <v>999</v>
      </c>
      <c r="AP38" s="183" t="s">
        <v>545</v>
      </c>
      <c r="AQ38" s="186">
        <f t="shared" si="1"/>
        <v>6.4666666666666659</v>
      </c>
      <c r="AR38" s="187">
        <v>3</v>
      </c>
    </row>
    <row r="39" spans="1:44">
      <c r="A39" s="176">
        <v>225</v>
      </c>
      <c r="B39" s="180"/>
      <c r="C39" s="176" t="s">
        <v>806</v>
      </c>
      <c r="D39" s="176" t="s">
        <v>38</v>
      </c>
      <c r="E39" s="176" t="s">
        <v>271</v>
      </c>
      <c r="F39" s="176" t="s">
        <v>272</v>
      </c>
      <c r="G39" s="176" t="s">
        <v>9</v>
      </c>
      <c r="H39" s="176" t="s">
        <v>10</v>
      </c>
      <c r="I39" s="176" t="s">
        <v>743</v>
      </c>
      <c r="J39" s="176" t="s">
        <v>763</v>
      </c>
      <c r="K39" s="176" t="s">
        <v>270</v>
      </c>
      <c r="L39" s="177"/>
      <c r="M39" s="177"/>
      <c r="N39" s="182">
        <v>32.700000000000003</v>
      </c>
      <c r="O39" s="182">
        <v>11</v>
      </c>
      <c r="P39" s="182">
        <v>16.600000000000001</v>
      </c>
      <c r="Q39" s="182">
        <v>16.399999999999999</v>
      </c>
      <c r="R39" s="182">
        <v>5.3</v>
      </c>
      <c r="S39" s="182">
        <v>6.5</v>
      </c>
      <c r="T39" s="182">
        <v>26</v>
      </c>
      <c r="U39" s="182">
        <v>-1.4</v>
      </c>
      <c r="V39" s="182">
        <v>26.1</v>
      </c>
      <c r="W39" s="182">
        <v>47.4</v>
      </c>
      <c r="X39" s="182">
        <v>28.2</v>
      </c>
      <c r="Y39" s="183" t="s">
        <v>756</v>
      </c>
      <c r="Z39" s="177"/>
      <c r="AA39" s="177"/>
      <c r="AB39" s="183">
        <v>16.3</v>
      </c>
      <c r="AC39" s="173" t="s">
        <v>744</v>
      </c>
      <c r="AD39" s="177"/>
      <c r="AE39" s="183">
        <v>11</v>
      </c>
      <c r="AF39" s="173" t="s">
        <v>744</v>
      </c>
      <c r="AG39" s="183"/>
      <c r="AH39" s="183">
        <v>15.2</v>
      </c>
      <c r="AI39" s="183" t="s">
        <v>247</v>
      </c>
      <c r="AJ39" s="207">
        <v>3.6545000000000001</v>
      </c>
      <c r="AK39" s="176">
        <v>8</v>
      </c>
      <c r="AL39" s="176"/>
      <c r="AM39" s="182">
        <f>SUM(L39:AH39)</f>
        <v>257.3</v>
      </c>
      <c r="AN39" s="185" t="s">
        <v>10</v>
      </c>
      <c r="AO39" s="183" t="s">
        <v>999</v>
      </c>
      <c r="AP39" s="183" t="s">
        <v>545</v>
      </c>
      <c r="AQ39" s="186">
        <f t="shared" si="1"/>
        <v>5.0666666666666664</v>
      </c>
      <c r="AR39" s="187">
        <v>3</v>
      </c>
    </row>
    <row r="40" spans="1:44">
      <c r="A40" s="176">
        <v>226</v>
      </c>
      <c r="B40" s="180"/>
      <c r="C40" s="176" t="s">
        <v>809</v>
      </c>
      <c r="D40" s="176" t="s">
        <v>38</v>
      </c>
      <c r="E40" s="176" t="s">
        <v>273</v>
      </c>
      <c r="F40" s="176" t="s">
        <v>84</v>
      </c>
      <c r="G40" s="176" t="s">
        <v>9</v>
      </c>
      <c r="H40" s="176" t="s">
        <v>10</v>
      </c>
      <c r="I40" s="176" t="s">
        <v>64</v>
      </c>
      <c r="J40" s="176" t="s">
        <v>763</v>
      </c>
      <c r="K40" s="176" t="s">
        <v>270</v>
      </c>
      <c r="L40" s="177"/>
      <c r="M40" s="177"/>
      <c r="N40" s="182">
        <v>8.5</v>
      </c>
      <c r="O40" s="183" t="s">
        <v>754</v>
      </c>
      <c r="P40" s="183">
        <v>9.9</v>
      </c>
      <c r="Q40" s="182">
        <v>19.2</v>
      </c>
      <c r="R40" s="182">
        <v>-3.4</v>
      </c>
      <c r="S40" s="182">
        <v>-5.0999999999999996</v>
      </c>
      <c r="T40" s="182">
        <v>13.7</v>
      </c>
      <c r="U40" s="182">
        <v>-6.9</v>
      </c>
      <c r="V40" s="182">
        <v>20.399999999999999</v>
      </c>
      <c r="W40" s="182">
        <v>18.8</v>
      </c>
      <c r="X40" s="182">
        <v>8.4</v>
      </c>
      <c r="Y40" s="183" t="s">
        <v>756</v>
      </c>
      <c r="Z40" s="177"/>
      <c r="AA40" s="177"/>
      <c r="AB40" s="183">
        <v>-0.4</v>
      </c>
      <c r="AC40" s="173" t="s">
        <v>744</v>
      </c>
      <c r="AD40" s="177"/>
      <c r="AE40" s="177">
        <v>2.8</v>
      </c>
      <c r="AF40" s="173" t="s">
        <v>744</v>
      </c>
      <c r="AG40" s="183"/>
      <c r="AH40" s="183">
        <v>11.7</v>
      </c>
      <c r="AI40" s="206" t="s">
        <v>247</v>
      </c>
      <c r="AJ40" s="205">
        <v>5.5018000000000002</v>
      </c>
      <c r="AK40" s="176">
        <v>8</v>
      </c>
      <c r="AL40" s="176"/>
      <c r="AM40" s="182">
        <f>SUM(L40:AH40)</f>
        <v>97.6</v>
      </c>
      <c r="AN40" s="185" t="s">
        <v>10</v>
      </c>
      <c r="AO40" s="183" t="s">
        <v>999</v>
      </c>
      <c r="AP40" s="183" t="s">
        <v>545</v>
      </c>
      <c r="AQ40" s="186">
        <f t="shared" si="1"/>
        <v>3.9</v>
      </c>
      <c r="AR40" s="187">
        <v>3</v>
      </c>
    </row>
    <row r="41" spans="1:44">
      <c r="A41" s="176">
        <v>227</v>
      </c>
      <c r="B41" s="180"/>
      <c r="C41" s="176" t="s">
        <v>812</v>
      </c>
      <c r="D41" s="176" t="s">
        <v>38</v>
      </c>
      <c r="E41" s="176" t="s">
        <v>274</v>
      </c>
      <c r="F41" s="176" t="s">
        <v>85</v>
      </c>
      <c r="G41" s="176" t="s">
        <v>9</v>
      </c>
      <c r="H41" s="176" t="s">
        <v>73</v>
      </c>
      <c r="I41" s="176" t="s">
        <v>64</v>
      </c>
      <c r="J41" s="176" t="s">
        <v>763</v>
      </c>
      <c r="K41" s="176" t="s">
        <v>270</v>
      </c>
      <c r="L41" s="177"/>
      <c r="M41" s="177"/>
      <c r="N41" s="181"/>
      <c r="O41" s="183" t="s">
        <v>754</v>
      </c>
      <c r="P41" s="183">
        <v>6.6</v>
      </c>
      <c r="Q41" s="182">
        <v>3.5</v>
      </c>
      <c r="R41" s="182">
        <v>3.1</v>
      </c>
      <c r="S41" s="182">
        <v>-4</v>
      </c>
      <c r="T41" s="182">
        <v>4.5</v>
      </c>
      <c r="U41" s="183" t="s">
        <v>754</v>
      </c>
      <c r="V41" s="183">
        <v>0</v>
      </c>
      <c r="W41" s="182" t="s">
        <v>775</v>
      </c>
      <c r="X41" s="177"/>
      <c r="Y41" s="177"/>
      <c r="Z41" s="177"/>
      <c r="AA41" s="177"/>
      <c r="AB41" s="183">
        <v>-1</v>
      </c>
      <c r="AC41" s="173" t="s">
        <v>744</v>
      </c>
      <c r="AD41" s="177"/>
      <c r="AE41" s="177">
        <v>0.7</v>
      </c>
      <c r="AF41" s="173" t="s">
        <v>744</v>
      </c>
      <c r="AG41" s="183"/>
      <c r="AH41" s="183">
        <v>2.2999999999999998</v>
      </c>
      <c r="AI41" s="183" t="s">
        <v>247</v>
      </c>
      <c r="AJ41" s="207">
        <v>2.4504999999999999</v>
      </c>
      <c r="AK41" s="176">
        <v>8</v>
      </c>
      <c r="AL41" s="176"/>
      <c r="AM41" s="182">
        <f>SUM(L41:AH41)</f>
        <v>15.7</v>
      </c>
      <c r="AN41" s="185" t="s">
        <v>73</v>
      </c>
      <c r="AO41" s="183" t="s">
        <v>999</v>
      </c>
      <c r="AP41" s="183" t="s">
        <v>545</v>
      </c>
      <c r="AQ41" s="186">
        <f t="shared" si="1"/>
        <v>0.76666666666666661</v>
      </c>
      <c r="AR41" s="187">
        <v>3</v>
      </c>
    </row>
    <row r="42" spans="1:44">
      <c r="A42" s="176">
        <v>228</v>
      </c>
      <c r="B42" s="180"/>
      <c r="C42" s="176" t="s">
        <v>814</v>
      </c>
      <c r="D42" s="176" t="s">
        <v>38</v>
      </c>
      <c r="E42" s="176" t="s">
        <v>86</v>
      </c>
      <c r="F42" s="176" t="s">
        <v>815</v>
      </c>
      <c r="G42" s="176" t="s">
        <v>9</v>
      </c>
      <c r="H42" s="176" t="s">
        <v>73</v>
      </c>
      <c r="I42" s="176" t="s">
        <v>743</v>
      </c>
      <c r="J42" s="176" t="s">
        <v>54</v>
      </c>
      <c r="K42" s="176" t="s">
        <v>270</v>
      </c>
      <c r="L42" s="177"/>
      <c r="M42" s="177"/>
      <c r="N42" s="181"/>
      <c r="O42" s="183" t="s">
        <v>754</v>
      </c>
      <c r="P42" s="183">
        <v>12</v>
      </c>
      <c r="Q42" s="182">
        <v>4.4000000000000004</v>
      </c>
      <c r="R42" s="182">
        <v>3.4</v>
      </c>
      <c r="S42" s="182">
        <v>-3.3</v>
      </c>
      <c r="T42" s="177"/>
      <c r="U42" s="177"/>
      <c r="V42" s="183" t="s">
        <v>47</v>
      </c>
      <c r="W42" s="183" t="s">
        <v>87</v>
      </c>
      <c r="X42" s="177"/>
      <c r="Y42" s="177"/>
      <c r="Z42" s="177"/>
      <c r="AA42" s="177"/>
      <c r="AB42" s="183" t="s">
        <v>47</v>
      </c>
      <c r="AC42" s="173" t="s">
        <v>744</v>
      </c>
      <c r="AD42" s="177"/>
      <c r="AE42" s="177">
        <v>2.5</v>
      </c>
      <c r="AF42" s="173" t="s">
        <v>744</v>
      </c>
      <c r="AG42" s="183"/>
      <c r="AH42" s="183">
        <v>2.9</v>
      </c>
      <c r="AI42" s="183" t="s">
        <v>247</v>
      </c>
      <c r="AJ42" s="207">
        <v>3.9973000000000001</v>
      </c>
      <c r="AK42" s="176">
        <v>8</v>
      </c>
      <c r="AL42" s="176" t="s">
        <v>816</v>
      </c>
      <c r="AM42" s="182">
        <f>SUM(AE42:AH42)</f>
        <v>5.4</v>
      </c>
      <c r="AN42" s="185" t="s">
        <v>619</v>
      </c>
      <c r="AO42" s="183" t="s">
        <v>999</v>
      </c>
      <c r="AP42" s="183" t="s">
        <v>545</v>
      </c>
      <c r="AQ42" s="186">
        <f t="shared" si="1"/>
        <v>0.96666666666666667</v>
      </c>
      <c r="AR42" s="187">
        <v>3</v>
      </c>
    </row>
    <row r="43" spans="1:44">
      <c r="A43" s="176">
        <v>229</v>
      </c>
      <c r="B43" s="180"/>
      <c r="C43" s="176" t="s">
        <v>817</v>
      </c>
      <c r="D43" s="176" t="s">
        <v>38</v>
      </c>
      <c r="E43" s="176" t="s">
        <v>88</v>
      </c>
      <c r="F43" s="176" t="s">
        <v>89</v>
      </c>
      <c r="G43" s="176" t="s">
        <v>9</v>
      </c>
      <c r="H43" s="176" t="s">
        <v>73</v>
      </c>
      <c r="I43" s="176" t="s">
        <v>743</v>
      </c>
      <c r="J43" s="176" t="s">
        <v>54</v>
      </c>
      <c r="K43" s="176" t="s">
        <v>270</v>
      </c>
      <c r="L43" s="177"/>
      <c r="M43" s="177"/>
      <c r="N43" s="181"/>
      <c r="O43" s="183" t="s">
        <v>754</v>
      </c>
      <c r="P43" s="183">
        <v>14.7</v>
      </c>
      <c r="Q43" s="182">
        <v>19.5</v>
      </c>
      <c r="R43" s="182">
        <v>7.9</v>
      </c>
      <c r="S43" s="182">
        <v>0.4</v>
      </c>
      <c r="T43" s="182">
        <v>39</v>
      </c>
      <c r="U43" s="177"/>
      <c r="V43" s="183" t="s">
        <v>47</v>
      </c>
      <c r="W43" s="183" t="s">
        <v>87</v>
      </c>
      <c r="X43" s="177"/>
      <c r="Y43" s="177"/>
      <c r="Z43" s="177"/>
      <c r="AA43" s="177"/>
      <c r="AB43" s="183" t="s">
        <v>47</v>
      </c>
      <c r="AC43" s="173" t="s">
        <v>744</v>
      </c>
      <c r="AD43" s="177"/>
      <c r="AE43" s="177">
        <v>13.2</v>
      </c>
      <c r="AF43" s="173" t="s">
        <v>744</v>
      </c>
      <c r="AG43" s="183"/>
      <c r="AH43" s="183">
        <v>12.5</v>
      </c>
      <c r="AI43" s="183" t="s">
        <v>247</v>
      </c>
      <c r="AJ43" s="207">
        <v>5.0195999999999996</v>
      </c>
      <c r="AK43" s="176">
        <v>8</v>
      </c>
      <c r="AL43" s="176" t="s">
        <v>818</v>
      </c>
      <c r="AM43" s="182">
        <f>SUM(AE43:AH43)</f>
        <v>25.7</v>
      </c>
      <c r="AN43" s="185" t="s">
        <v>619</v>
      </c>
      <c r="AO43" s="183" t="s">
        <v>999</v>
      </c>
      <c r="AP43" s="183" t="s">
        <v>545</v>
      </c>
      <c r="AQ43" s="186">
        <f t="shared" si="1"/>
        <v>4.166666666666667</v>
      </c>
      <c r="AR43" s="187">
        <v>3</v>
      </c>
    </row>
    <row r="44" spans="1:44">
      <c r="A44" s="176">
        <v>230</v>
      </c>
      <c r="B44" s="180"/>
      <c r="C44" s="176" t="s">
        <v>819</v>
      </c>
      <c r="D44" s="176" t="s">
        <v>38</v>
      </c>
      <c r="E44" s="176" t="s">
        <v>90</v>
      </c>
      <c r="F44" s="176" t="s">
        <v>91</v>
      </c>
      <c r="G44" s="176" t="s">
        <v>9</v>
      </c>
      <c r="H44" s="176" t="s">
        <v>31</v>
      </c>
      <c r="I44" s="176" t="s">
        <v>743</v>
      </c>
      <c r="J44" s="176" t="s">
        <v>763</v>
      </c>
      <c r="K44" s="176" t="s">
        <v>270</v>
      </c>
      <c r="L44" s="177"/>
      <c r="M44" s="177"/>
      <c r="N44" s="177"/>
      <c r="O44" s="177"/>
      <c r="P44" s="177"/>
      <c r="Q44" s="182">
        <v>8.1</v>
      </c>
      <c r="R44" s="182">
        <v>7.2</v>
      </c>
      <c r="S44" s="182">
        <v>16.2</v>
      </c>
      <c r="T44" s="182">
        <v>15.5</v>
      </c>
      <c r="U44" s="182">
        <v>-3.1</v>
      </c>
      <c r="V44" s="182">
        <v>9.1999999999999993</v>
      </c>
      <c r="W44" s="183" t="s">
        <v>775</v>
      </c>
      <c r="X44" s="177"/>
      <c r="Y44" s="177"/>
      <c r="Z44" s="177"/>
      <c r="AA44" s="177"/>
      <c r="AB44" s="183">
        <v>12.8</v>
      </c>
      <c r="AC44" s="173" t="s">
        <v>744</v>
      </c>
      <c r="AD44" s="177"/>
      <c r="AE44" s="177">
        <v>3.9</v>
      </c>
      <c r="AF44" s="173" t="s">
        <v>744</v>
      </c>
      <c r="AG44" s="183"/>
      <c r="AH44" s="183">
        <v>7</v>
      </c>
      <c r="AI44" s="183" t="s">
        <v>247</v>
      </c>
      <c r="AJ44" s="207">
        <v>3.1983999999999999</v>
      </c>
      <c r="AK44" s="176">
        <v>8</v>
      </c>
      <c r="AL44" s="176"/>
      <c r="AM44" s="182">
        <f>SUM(L44:AH44)</f>
        <v>76.8</v>
      </c>
      <c r="AN44" s="185" t="s">
        <v>31</v>
      </c>
      <c r="AO44" s="183" t="s">
        <v>999</v>
      </c>
      <c r="AP44" s="183" t="s">
        <v>545</v>
      </c>
      <c r="AQ44" s="186">
        <f t="shared" si="1"/>
        <v>2.3333333333333335</v>
      </c>
      <c r="AR44" s="187">
        <v>3</v>
      </c>
    </row>
    <row r="45" spans="1:44">
      <c r="A45" s="176">
        <v>231</v>
      </c>
      <c r="B45" s="180"/>
      <c r="C45" s="176" t="s">
        <v>820</v>
      </c>
      <c r="D45" s="176" t="s">
        <v>38</v>
      </c>
      <c r="E45" s="176" t="s">
        <v>275</v>
      </c>
      <c r="F45" s="176" t="s">
        <v>92</v>
      </c>
      <c r="G45" s="176" t="s">
        <v>9</v>
      </c>
      <c r="H45" s="176" t="s">
        <v>31</v>
      </c>
      <c r="I45" s="176" t="s">
        <v>64</v>
      </c>
      <c r="J45" s="176" t="s">
        <v>54</v>
      </c>
      <c r="K45" s="176" t="s">
        <v>270</v>
      </c>
      <c r="L45" s="177"/>
      <c r="M45" s="177"/>
      <c r="N45" s="177"/>
      <c r="O45" s="177"/>
      <c r="P45" s="177"/>
      <c r="Q45" s="182" t="s">
        <v>770</v>
      </c>
      <c r="R45" s="182">
        <v>14.3</v>
      </c>
      <c r="S45" s="182">
        <v>7.4</v>
      </c>
      <c r="T45" s="182" t="s">
        <v>770</v>
      </c>
      <c r="U45" s="183" t="s">
        <v>93</v>
      </c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83"/>
      <c r="AG45" s="183"/>
      <c r="AH45" s="183">
        <v>250.2</v>
      </c>
      <c r="AI45" s="183" t="s">
        <v>247</v>
      </c>
      <c r="AJ45" s="207">
        <v>5.6725000000000003</v>
      </c>
      <c r="AK45" s="176">
        <v>8</v>
      </c>
      <c r="AL45" s="176" t="s">
        <v>822</v>
      </c>
      <c r="AM45" s="182">
        <f>SUM(U45:AH45)</f>
        <v>250.2</v>
      </c>
      <c r="AN45" s="185" t="s">
        <v>612</v>
      </c>
      <c r="AO45" s="183" t="s">
        <v>999</v>
      </c>
      <c r="AP45" s="183" t="s">
        <v>545</v>
      </c>
      <c r="AQ45" s="186">
        <f t="shared" si="1"/>
        <v>17.87142857142857</v>
      </c>
      <c r="AR45" s="187">
        <v>14</v>
      </c>
    </row>
    <row r="46" spans="1:44">
      <c r="A46" s="176">
        <v>232</v>
      </c>
      <c r="B46" s="180"/>
      <c r="C46" s="176" t="s">
        <v>823</v>
      </c>
      <c r="D46" s="176" t="s">
        <v>38</v>
      </c>
      <c r="E46" s="176" t="s">
        <v>1049</v>
      </c>
      <c r="F46" s="176" t="s">
        <v>825</v>
      </c>
      <c r="G46" s="176" t="s">
        <v>9</v>
      </c>
      <c r="H46" s="176" t="s">
        <v>31</v>
      </c>
      <c r="I46" s="176" t="s">
        <v>64</v>
      </c>
      <c r="J46" s="176" t="s">
        <v>763</v>
      </c>
      <c r="K46" s="176" t="s">
        <v>270</v>
      </c>
      <c r="L46" s="177"/>
      <c r="M46" s="177"/>
      <c r="N46" s="177"/>
      <c r="O46" s="177"/>
      <c r="P46" s="177"/>
      <c r="Q46" s="182">
        <v>48.6</v>
      </c>
      <c r="R46" s="182">
        <v>12.4</v>
      </c>
      <c r="S46" s="182">
        <v>8.9</v>
      </c>
      <c r="T46" s="182">
        <v>20.6</v>
      </c>
      <c r="U46" s="182">
        <v>0.2</v>
      </c>
      <c r="V46" s="182">
        <v>27.2</v>
      </c>
      <c r="W46" s="177"/>
      <c r="X46" s="177"/>
      <c r="Y46" s="177"/>
      <c r="Z46" s="177"/>
      <c r="AA46" s="177"/>
      <c r="AB46" s="177"/>
      <c r="AC46" s="177"/>
      <c r="AD46" s="177"/>
      <c r="AE46" s="177"/>
      <c r="AF46" s="183"/>
      <c r="AG46" s="183"/>
      <c r="AH46" s="183"/>
      <c r="AI46" s="206" t="s">
        <v>247</v>
      </c>
      <c r="AJ46" s="205">
        <v>2.8774000000000002</v>
      </c>
      <c r="AK46" s="176">
        <v>59</v>
      </c>
      <c r="AL46" s="176" t="s">
        <v>20</v>
      </c>
      <c r="AM46" s="182"/>
      <c r="AN46" s="185"/>
      <c r="AO46" s="183"/>
      <c r="AP46" s="183"/>
      <c r="AQ46" s="186"/>
      <c r="AR46" s="187"/>
    </row>
    <row r="47" spans="1:44">
      <c r="A47" s="176">
        <v>233</v>
      </c>
      <c r="B47" s="180"/>
      <c r="C47" s="176" t="s">
        <v>826</v>
      </c>
      <c r="D47" s="176" t="s">
        <v>38</v>
      </c>
      <c r="E47" s="176" t="s">
        <v>244</v>
      </c>
      <c r="F47" s="176" t="s">
        <v>94</v>
      </c>
      <c r="G47" s="176" t="s">
        <v>9</v>
      </c>
      <c r="H47" s="176" t="s">
        <v>31</v>
      </c>
      <c r="I47" s="176" t="s">
        <v>64</v>
      </c>
      <c r="J47" s="176" t="s">
        <v>54</v>
      </c>
      <c r="K47" s="176" t="s">
        <v>270</v>
      </c>
      <c r="L47" s="177"/>
      <c r="M47" s="177"/>
      <c r="N47" s="177"/>
      <c r="O47" s="177"/>
      <c r="P47" s="177"/>
      <c r="Q47" s="182">
        <v>20.399999999999999</v>
      </c>
      <c r="R47" s="182">
        <v>0.8</v>
      </c>
      <c r="S47" s="182">
        <v>4.9000000000000004</v>
      </c>
      <c r="T47" s="182">
        <v>5.9</v>
      </c>
      <c r="U47" s="182">
        <v>-5.6</v>
      </c>
      <c r="V47" s="182">
        <v>47.6</v>
      </c>
      <c r="W47" s="183" t="s">
        <v>95</v>
      </c>
      <c r="X47" s="177"/>
      <c r="Y47" s="177"/>
      <c r="Z47" s="177"/>
      <c r="AA47" s="177"/>
      <c r="AB47" s="177"/>
      <c r="AC47" s="177"/>
      <c r="AD47" s="177"/>
      <c r="AE47" s="177"/>
      <c r="AF47" s="183"/>
      <c r="AG47" s="183"/>
      <c r="AH47" s="183">
        <v>61.9</v>
      </c>
      <c r="AI47" s="206" t="s">
        <v>247</v>
      </c>
      <c r="AJ47" s="205">
        <v>3.7288999999999999</v>
      </c>
      <c r="AK47" s="176">
        <v>8</v>
      </c>
      <c r="AL47" s="176"/>
      <c r="AM47" s="182">
        <f>SUM(L47:AH47)</f>
        <v>135.9</v>
      </c>
      <c r="AN47" s="185" t="s">
        <v>31</v>
      </c>
      <c r="AO47" s="183" t="s">
        <v>999</v>
      </c>
      <c r="AP47" s="183" t="s">
        <v>545</v>
      </c>
      <c r="AQ47" s="186">
        <f>AH47/AR47</f>
        <v>5.1583333333333332</v>
      </c>
      <c r="AR47" s="187">
        <v>12</v>
      </c>
    </row>
    <row r="48" spans="1:44">
      <c r="A48" s="176">
        <v>301</v>
      </c>
      <c r="B48" s="180" t="s">
        <v>1003</v>
      </c>
      <c r="C48" s="176" t="s">
        <v>828</v>
      </c>
      <c r="D48" s="176" t="s">
        <v>96</v>
      </c>
      <c r="E48" s="176" t="s">
        <v>243</v>
      </c>
      <c r="F48" s="176" t="s">
        <v>97</v>
      </c>
      <c r="G48" s="176" t="s">
        <v>12</v>
      </c>
      <c r="H48" s="176" t="s">
        <v>19</v>
      </c>
      <c r="I48" s="176" t="s">
        <v>743</v>
      </c>
      <c r="J48" s="176" t="s">
        <v>284</v>
      </c>
      <c r="K48" s="176" t="s">
        <v>264</v>
      </c>
      <c r="L48" s="183" t="s">
        <v>754</v>
      </c>
      <c r="M48" s="183">
        <v>34.1</v>
      </c>
      <c r="N48" s="182">
        <v>-3.4</v>
      </c>
      <c r="O48" s="182">
        <v>6.7</v>
      </c>
      <c r="P48" s="182">
        <v>10.199999999999999</v>
      </c>
      <c r="Q48" s="182">
        <v>8.3000000000000007</v>
      </c>
      <c r="R48" s="182">
        <v>3</v>
      </c>
      <c r="S48" s="182">
        <v>-6.1</v>
      </c>
      <c r="T48" s="182">
        <v>4.0999999999999996</v>
      </c>
      <c r="U48" s="182">
        <v>2.9</v>
      </c>
      <c r="V48" s="182">
        <v>5</v>
      </c>
      <c r="W48" s="182">
        <v>21.5</v>
      </c>
      <c r="X48" s="182">
        <v>1</v>
      </c>
      <c r="Y48" s="182">
        <v>-8.6999999999999993</v>
      </c>
      <c r="Z48" s="176">
        <v>4.5999999999999996</v>
      </c>
      <c r="AA48" s="182">
        <v>5</v>
      </c>
      <c r="AB48" s="182">
        <v>-2.8</v>
      </c>
      <c r="AC48" s="182">
        <v>8.9</v>
      </c>
      <c r="AD48" s="182">
        <v>-2.2000000000000002</v>
      </c>
      <c r="AE48" s="176">
        <v>-3.1</v>
      </c>
      <c r="AF48" s="182">
        <v>4.2</v>
      </c>
      <c r="AG48" s="182">
        <v>5.4</v>
      </c>
      <c r="AH48" s="182">
        <v>-5.3</v>
      </c>
      <c r="AI48" s="206">
        <v>8.6999999999999993</v>
      </c>
      <c r="AJ48" s="205">
        <v>13.4009</v>
      </c>
      <c r="AK48" s="176">
        <v>9</v>
      </c>
      <c r="AL48" s="176"/>
      <c r="AM48" s="182">
        <f t="shared" ref="AM48:AM54" si="2">SUM(L48:AI48)</f>
        <v>102.00000000000003</v>
      </c>
      <c r="AN48" s="185" t="s">
        <v>19</v>
      </c>
      <c r="AO48" s="183" t="s">
        <v>999</v>
      </c>
      <c r="AP48" s="183" t="s">
        <v>255</v>
      </c>
      <c r="AQ48" s="186">
        <f t="shared" ref="AQ48:AQ59" si="3">AI48/AR48</f>
        <v>8.6999999999999993</v>
      </c>
      <c r="AR48" s="187">
        <v>1</v>
      </c>
    </row>
    <row r="49" spans="1:44">
      <c r="A49" s="176">
        <v>302</v>
      </c>
      <c r="B49" s="180"/>
      <c r="C49" s="176" t="s">
        <v>830</v>
      </c>
      <c r="D49" s="176" t="s">
        <v>96</v>
      </c>
      <c r="E49" s="176" t="s">
        <v>304</v>
      </c>
      <c r="F49" s="176" t="s">
        <v>99</v>
      </c>
      <c r="G49" s="176" t="s">
        <v>12</v>
      </c>
      <c r="H49" s="176" t="s">
        <v>73</v>
      </c>
      <c r="I49" s="176" t="s">
        <v>743</v>
      </c>
      <c r="J49" s="176" t="s">
        <v>763</v>
      </c>
      <c r="K49" s="176" t="s">
        <v>264</v>
      </c>
      <c r="L49" s="177"/>
      <c r="M49" s="177"/>
      <c r="N49" s="181"/>
      <c r="O49" s="183" t="s">
        <v>754</v>
      </c>
      <c r="P49" s="183">
        <v>31.8</v>
      </c>
      <c r="Q49" s="182">
        <v>22.8</v>
      </c>
      <c r="R49" s="182">
        <v>13.6</v>
      </c>
      <c r="S49" s="182">
        <v>-11.2</v>
      </c>
      <c r="T49" s="182">
        <v>18</v>
      </c>
      <c r="U49" s="182">
        <v>17.600000000000001</v>
      </c>
      <c r="V49" s="182">
        <v>65.2</v>
      </c>
      <c r="W49" s="182">
        <v>35.200000000000003</v>
      </c>
      <c r="X49" s="182">
        <v>-0.8</v>
      </c>
      <c r="Y49" s="182">
        <v>-5.2</v>
      </c>
      <c r="Z49" s="177" t="s">
        <v>744</v>
      </c>
      <c r="AA49" s="177"/>
      <c r="AB49" s="183">
        <v>13</v>
      </c>
      <c r="AC49" s="182">
        <v>22.6</v>
      </c>
      <c r="AD49" s="182">
        <v>-2.8</v>
      </c>
      <c r="AE49" s="176">
        <v>-0.7</v>
      </c>
      <c r="AF49" s="182">
        <v>6.3</v>
      </c>
      <c r="AG49" s="182">
        <v>7</v>
      </c>
      <c r="AH49" s="182">
        <v>-2.2000000000000002</v>
      </c>
      <c r="AI49" s="176">
        <v>13.5</v>
      </c>
      <c r="AJ49" s="207">
        <v>8.9773999999999994</v>
      </c>
      <c r="AK49" s="176">
        <v>9</v>
      </c>
      <c r="AL49" s="176" t="s">
        <v>745</v>
      </c>
      <c r="AM49" s="182">
        <f t="shared" si="2"/>
        <v>243.70000000000002</v>
      </c>
      <c r="AN49" s="185" t="s">
        <v>73</v>
      </c>
      <c r="AO49" s="183" t="s">
        <v>999</v>
      </c>
      <c r="AP49" s="183" t="s">
        <v>255</v>
      </c>
      <c r="AQ49" s="186">
        <f t="shared" si="3"/>
        <v>13.5</v>
      </c>
      <c r="AR49" s="187">
        <v>1</v>
      </c>
    </row>
    <row r="50" spans="1:44">
      <c r="A50" s="176">
        <v>303</v>
      </c>
      <c r="B50" s="180" t="s">
        <v>1003</v>
      </c>
      <c r="C50" s="176" t="s">
        <v>832</v>
      </c>
      <c r="D50" s="176" t="s">
        <v>96</v>
      </c>
      <c r="E50" s="176" t="s">
        <v>100</v>
      </c>
      <c r="F50" s="176" t="s">
        <v>101</v>
      </c>
      <c r="G50" s="176" t="s">
        <v>9</v>
      </c>
      <c r="H50" s="176" t="s">
        <v>10</v>
      </c>
      <c r="I50" s="176" t="s">
        <v>743</v>
      </c>
      <c r="J50" s="176" t="s">
        <v>763</v>
      </c>
      <c r="K50" s="176" t="s">
        <v>270</v>
      </c>
      <c r="L50" s="177"/>
      <c r="M50" s="177"/>
      <c r="N50" s="182">
        <v>18</v>
      </c>
      <c r="O50" s="182">
        <v>2.8</v>
      </c>
      <c r="P50" s="182">
        <v>15.8</v>
      </c>
      <c r="Q50" s="182">
        <v>15</v>
      </c>
      <c r="R50" s="182">
        <v>5</v>
      </c>
      <c r="S50" s="182">
        <v>-2.5</v>
      </c>
      <c r="T50" s="182">
        <v>10.3</v>
      </c>
      <c r="U50" s="182">
        <v>3.3</v>
      </c>
      <c r="V50" s="182">
        <v>15.1</v>
      </c>
      <c r="W50" s="182">
        <v>31.9</v>
      </c>
      <c r="X50" s="182">
        <v>2.7</v>
      </c>
      <c r="Y50" s="182">
        <v>-7.8</v>
      </c>
      <c r="Z50" s="176">
        <v>5.9</v>
      </c>
      <c r="AA50" s="182">
        <v>6.3</v>
      </c>
      <c r="AB50" s="182">
        <v>-2.2000000000000002</v>
      </c>
      <c r="AC50" s="182">
        <v>10.5</v>
      </c>
      <c r="AD50" s="182">
        <v>-3</v>
      </c>
      <c r="AE50" s="182">
        <v>-1</v>
      </c>
      <c r="AF50" s="182">
        <v>6.8</v>
      </c>
      <c r="AG50" s="182">
        <v>5.0999999999999996</v>
      </c>
      <c r="AH50" s="182">
        <v>-4.8</v>
      </c>
      <c r="AI50" s="176">
        <v>10.199999999999999</v>
      </c>
      <c r="AJ50" s="207">
        <v>9.6790000000000003</v>
      </c>
      <c r="AK50" s="176">
        <v>9</v>
      </c>
      <c r="AL50" s="176"/>
      <c r="AM50" s="182">
        <f t="shared" si="2"/>
        <v>143.39999999999998</v>
      </c>
      <c r="AN50" s="185" t="s">
        <v>10</v>
      </c>
      <c r="AO50" s="183" t="s">
        <v>999</v>
      </c>
      <c r="AP50" s="183" t="s">
        <v>255</v>
      </c>
      <c r="AQ50" s="186">
        <f t="shared" si="3"/>
        <v>10.199999999999999</v>
      </c>
      <c r="AR50" s="187">
        <v>1</v>
      </c>
    </row>
    <row r="51" spans="1:44">
      <c r="A51" s="176">
        <v>304</v>
      </c>
      <c r="B51" s="180" t="s">
        <v>1003</v>
      </c>
      <c r="C51" s="176" t="s">
        <v>833</v>
      </c>
      <c r="D51" s="176" t="s">
        <v>96</v>
      </c>
      <c r="E51" s="176" t="s">
        <v>242</v>
      </c>
      <c r="F51" s="176" t="s">
        <v>102</v>
      </c>
      <c r="G51" s="176" t="s">
        <v>9</v>
      </c>
      <c r="H51" s="176" t="s">
        <v>19</v>
      </c>
      <c r="I51" s="176" t="s">
        <v>743</v>
      </c>
      <c r="J51" s="176" t="s">
        <v>763</v>
      </c>
      <c r="K51" s="176" t="s">
        <v>264</v>
      </c>
      <c r="L51" s="182">
        <v>20.3</v>
      </c>
      <c r="M51" s="182">
        <v>2.4</v>
      </c>
      <c r="N51" s="182">
        <v>-1.2</v>
      </c>
      <c r="O51" s="182">
        <v>8.1</v>
      </c>
      <c r="P51" s="182">
        <v>11.7</v>
      </c>
      <c r="Q51" s="182">
        <v>8.9</v>
      </c>
      <c r="R51" s="182">
        <v>1.9</v>
      </c>
      <c r="S51" s="182">
        <v>-7.1</v>
      </c>
      <c r="T51" s="182">
        <v>4.4000000000000004</v>
      </c>
      <c r="U51" s="182">
        <v>3.6</v>
      </c>
      <c r="V51" s="182">
        <v>19</v>
      </c>
      <c r="W51" s="182">
        <v>17.7</v>
      </c>
      <c r="X51" s="182">
        <v>-3.2</v>
      </c>
      <c r="Y51" s="182">
        <v>-8.1999999999999993</v>
      </c>
      <c r="Z51" s="176">
        <v>4.4000000000000004</v>
      </c>
      <c r="AA51" s="182">
        <v>8.6</v>
      </c>
      <c r="AB51" s="182">
        <v>-3.3</v>
      </c>
      <c r="AC51" s="182">
        <v>8.1999999999999993</v>
      </c>
      <c r="AD51" s="182">
        <v>-1.2</v>
      </c>
      <c r="AE51" s="176">
        <v>-3.7</v>
      </c>
      <c r="AF51" s="182">
        <v>4.9000000000000004</v>
      </c>
      <c r="AG51" s="182">
        <v>4.2</v>
      </c>
      <c r="AH51" s="182">
        <v>-3.6</v>
      </c>
      <c r="AI51" s="206">
        <v>9.5</v>
      </c>
      <c r="AJ51" s="205">
        <v>9.4451999999999998</v>
      </c>
      <c r="AK51" s="176">
        <v>9</v>
      </c>
      <c r="AL51" s="176"/>
      <c r="AM51" s="182">
        <f t="shared" si="2"/>
        <v>106.30000000000001</v>
      </c>
      <c r="AN51" s="185" t="s">
        <v>19</v>
      </c>
      <c r="AO51" s="183" t="s">
        <v>999</v>
      </c>
      <c r="AP51" s="183" t="s">
        <v>255</v>
      </c>
      <c r="AQ51" s="186">
        <f t="shared" si="3"/>
        <v>9.5</v>
      </c>
      <c r="AR51" s="187">
        <v>1</v>
      </c>
    </row>
    <row r="52" spans="1:44">
      <c r="A52" s="176">
        <v>305</v>
      </c>
      <c r="B52" s="180" t="s">
        <v>1003</v>
      </c>
      <c r="C52" s="176" t="s">
        <v>835</v>
      </c>
      <c r="D52" s="176" t="s">
        <v>96</v>
      </c>
      <c r="E52" s="176" t="s">
        <v>103</v>
      </c>
      <c r="F52" s="176" t="s">
        <v>104</v>
      </c>
      <c r="G52" s="176" t="s">
        <v>9</v>
      </c>
      <c r="H52" s="176" t="s">
        <v>10</v>
      </c>
      <c r="I52" s="176" t="s">
        <v>743</v>
      </c>
      <c r="J52" s="176" t="s">
        <v>54</v>
      </c>
      <c r="K52" s="176" t="s">
        <v>264</v>
      </c>
      <c r="L52" s="177"/>
      <c r="M52" s="177"/>
      <c r="N52" s="182">
        <v>14.5</v>
      </c>
      <c r="O52" s="182">
        <v>8.1</v>
      </c>
      <c r="P52" s="182">
        <v>20.2</v>
      </c>
      <c r="Q52" s="182">
        <v>17.3</v>
      </c>
      <c r="R52" s="182">
        <v>8.3000000000000007</v>
      </c>
      <c r="S52" s="182">
        <v>2.2999999999999998</v>
      </c>
      <c r="T52" s="182">
        <v>11.8</v>
      </c>
      <c r="U52" s="182">
        <v>3.5</v>
      </c>
      <c r="V52" s="182">
        <v>32.9</v>
      </c>
      <c r="W52" s="182">
        <v>67</v>
      </c>
      <c r="X52" s="182">
        <v>6.9</v>
      </c>
      <c r="Y52" s="182">
        <v>-3.8</v>
      </c>
      <c r="Z52" s="176">
        <v>2.6</v>
      </c>
      <c r="AA52" s="182">
        <v>10.6</v>
      </c>
      <c r="AB52" s="182">
        <v>-2.1</v>
      </c>
      <c r="AC52" s="182">
        <v>13.6</v>
      </c>
      <c r="AD52" s="182">
        <v>-1.9</v>
      </c>
      <c r="AE52" s="176">
        <v>-0.5</v>
      </c>
      <c r="AF52" s="182">
        <v>6.4</v>
      </c>
      <c r="AG52" s="182">
        <v>5.7</v>
      </c>
      <c r="AH52" s="182">
        <v>-0.6</v>
      </c>
      <c r="AI52" s="176">
        <v>10.8</v>
      </c>
      <c r="AJ52" s="207">
        <v>7.7405999999999997</v>
      </c>
      <c r="AK52" s="176">
        <v>9</v>
      </c>
      <c r="AL52" s="176"/>
      <c r="AM52" s="182">
        <f t="shared" si="2"/>
        <v>233.59999999999997</v>
      </c>
      <c r="AN52" s="185" t="s">
        <v>10</v>
      </c>
      <c r="AO52" s="183" t="s">
        <v>999</v>
      </c>
      <c r="AP52" s="183" t="s">
        <v>255</v>
      </c>
      <c r="AQ52" s="186">
        <f t="shared" si="3"/>
        <v>10.8</v>
      </c>
      <c r="AR52" s="187">
        <v>1</v>
      </c>
    </row>
    <row r="53" spans="1:44">
      <c r="A53" s="176">
        <v>306</v>
      </c>
      <c r="B53" s="180" t="s">
        <v>1003</v>
      </c>
      <c r="C53" s="176" t="s">
        <v>836</v>
      </c>
      <c r="D53" s="176" t="s">
        <v>96</v>
      </c>
      <c r="E53" s="176" t="s">
        <v>305</v>
      </c>
      <c r="F53" s="176" t="s">
        <v>105</v>
      </c>
      <c r="G53" s="176" t="s">
        <v>9</v>
      </c>
      <c r="H53" s="176" t="s">
        <v>19</v>
      </c>
      <c r="I53" s="176" t="s">
        <v>743</v>
      </c>
      <c r="J53" s="176" t="s">
        <v>54</v>
      </c>
      <c r="K53" s="176" t="s">
        <v>264</v>
      </c>
      <c r="L53" s="182">
        <v>32.700000000000003</v>
      </c>
      <c r="M53" s="182">
        <v>35.1</v>
      </c>
      <c r="N53" s="182">
        <v>39.799999999999997</v>
      </c>
      <c r="O53" s="182">
        <v>-9.3000000000000007</v>
      </c>
      <c r="P53" s="182">
        <v>13.9</v>
      </c>
      <c r="Q53" s="182">
        <v>53.5</v>
      </c>
      <c r="R53" s="182">
        <v>20.100000000000001</v>
      </c>
      <c r="S53" s="182">
        <v>2</v>
      </c>
      <c r="T53" s="182">
        <v>31.2</v>
      </c>
      <c r="U53" s="182">
        <v>28.1</v>
      </c>
      <c r="V53" s="182">
        <v>83.9</v>
      </c>
      <c r="W53" s="182">
        <v>46.3</v>
      </c>
      <c r="X53" s="182">
        <v>9.4</v>
      </c>
      <c r="Y53" s="182">
        <v>-10.8</v>
      </c>
      <c r="Z53" s="176">
        <v>1.3</v>
      </c>
      <c r="AA53" s="182">
        <v>10.5</v>
      </c>
      <c r="AB53" s="182">
        <v>-2.8</v>
      </c>
      <c r="AC53" s="182">
        <v>9.6999999999999993</v>
      </c>
      <c r="AD53" s="182">
        <v>0</v>
      </c>
      <c r="AE53" s="176">
        <v>-2.6</v>
      </c>
      <c r="AF53" s="182">
        <v>6</v>
      </c>
      <c r="AG53" s="182">
        <v>6.6</v>
      </c>
      <c r="AH53" s="182">
        <v>-2.6</v>
      </c>
      <c r="AI53" s="206">
        <v>10.1</v>
      </c>
      <c r="AJ53" s="205">
        <v>7.1094999999999997</v>
      </c>
      <c r="AK53" s="176">
        <v>9</v>
      </c>
      <c r="AL53" s="176"/>
      <c r="AM53" s="182">
        <f t="shared" si="2"/>
        <v>412.09999999999997</v>
      </c>
      <c r="AN53" s="185" t="s">
        <v>19</v>
      </c>
      <c r="AO53" s="183" t="s">
        <v>999</v>
      </c>
      <c r="AP53" s="183" t="s">
        <v>255</v>
      </c>
      <c r="AQ53" s="186">
        <f t="shared" si="3"/>
        <v>10.1</v>
      </c>
      <c r="AR53" s="187">
        <v>1</v>
      </c>
    </row>
    <row r="54" spans="1:44">
      <c r="A54" s="176">
        <v>307</v>
      </c>
      <c r="B54" s="180" t="s">
        <v>1003</v>
      </c>
      <c r="C54" s="176" t="s">
        <v>838</v>
      </c>
      <c r="D54" s="176" t="s">
        <v>96</v>
      </c>
      <c r="E54" s="176" t="s">
        <v>306</v>
      </c>
      <c r="F54" s="176" t="s">
        <v>106</v>
      </c>
      <c r="G54" s="176" t="s">
        <v>9</v>
      </c>
      <c r="H54" s="176" t="s">
        <v>19</v>
      </c>
      <c r="I54" s="176" t="s">
        <v>743</v>
      </c>
      <c r="J54" s="176" t="s">
        <v>54</v>
      </c>
      <c r="K54" s="176" t="s">
        <v>264</v>
      </c>
      <c r="L54" s="182">
        <v>48.3</v>
      </c>
      <c r="M54" s="182">
        <v>47.1</v>
      </c>
      <c r="N54" s="182">
        <v>36.6</v>
      </c>
      <c r="O54" s="182">
        <v>0.7</v>
      </c>
      <c r="P54" s="182">
        <v>21.6</v>
      </c>
      <c r="Q54" s="182">
        <v>29.2</v>
      </c>
      <c r="R54" s="182">
        <v>16</v>
      </c>
      <c r="S54" s="182">
        <v>3.1</v>
      </c>
      <c r="T54" s="182">
        <v>14.9</v>
      </c>
      <c r="U54" s="182">
        <v>7.6</v>
      </c>
      <c r="V54" s="182">
        <v>26.3</v>
      </c>
      <c r="W54" s="182">
        <v>44.5</v>
      </c>
      <c r="X54" s="182">
        <v>8.6999999999999993</v>
      </c>
      <c r="Y54" s="182">
        <v>-2</v>
      </c>
      <c r="Z54" s="176">
        <v>-0.2</v>
      </c>
      <c r="AA54" s="182">
        <v>12</v>
      </c>
      <c r="AB54" s="182">
        <v>-2.4</v>
      </c>
      <c r="AC54" s="182">
        <v>12.6</v>
      </c>
      <c r="AD54" s="182">
        <v>0.8</v>
      </c>
      <c r="AE54" s="176">
        <v>0.5</v>
      </c>
      <c r="AF54" s="182">
        <v>7.3</v>
      </c>
      <c r="AG54" s="182">
        <v>7.6</v>
      </c>
      <c r="AH54" s="182">
        <v>-1.4</v>
      </c>
      <c r="AI54" s="182">
        <v>11.1</v>
      </c>
      <c r="AJ54" s="207">
        <v>6.1341000000000001</v>
      </c>
      <c r="AK54" s="176">
        <v>9</v>
      </c>
      <c r="AL54" s="176"/>
      <c r="AM54" s="182">
        <f t="shared" si="2"/>
        <v>350.50000000000011</v>
      </c>
      <c r="AN54" s="185" t="s">
        <v>19</v>
      </c>
      <c r="AO54" s="183" t="s">
        <v>999</v>
      </c>
      <c r="AP54" s="183" t="s">
        <v>255</v>
      </c>
      <c r="AQ54" s="186">
        <f t="shared" si="3"/>
        <v>11.1</v>
      </c>
      <c r="AR54" s="187">
        <v>1</v>
      </c>
    </row>
    <row r="55" spans="1:44">
      <c r="A55" s="176">
        <v>308</v>
      </c>
      <c r="B55" s="180" t="s">
        <v>1003</v>
      </c>
      <c r="C55" s="176" t="s">
        <v>840</v>
      </c>
      <c r="D55" s="176" t="s">
        <v>96</v>
      </c>
      <c r="E55" s="176" t="s">
        <v>107</v>
      </c>
      <c r="F55" s="176" t="s">
        <v>108</v>
      </c>
      <c r="G55" s="176" t="s">
        <v>9</v>
      </c>
      <c r="H55" s="176" t="s">
        <v>10</v>
      </c>
      <c r="I55" s="176" t="s">
        <v>743</v>
      </c>
      <c r="J55" s="176" t="s">
        <v>763</v>
      </c>
      <c r="K55" s="176" t="s">
        <v>264</v>
      </c>
      <c r="L55" s="177"/>
      <c r="M55" s="177"/>
      <c r="N55" s="182">
        <v>19.399999999999999</v>
      </c>
      <c r="O55" s="182">
        <v>19</v>
      </c>
      <c r="P55" s="182">
        <v>29.6</v>
      </c>
      <c r="Q55" s="182">
        <v>29.7</v>
      </c>
      <c r="R55" s="182">
        <v>14.8</v>
      </c>
      <c r="S55" s="182">
        <v>1.3</v>
      </c>
      <c r="T55" s="182">
        <v>14.6</v>
      </c>
      <c r="U55" s="182">
        <v>5.0999999999999996</v>
      </c>
      <c r="V55" s="182">
        <v>35.6</v>
      </c>
      <c r="W55" s="182" t="s">
        <v>770</v>
      </c>
      <c r="X55" s="182">
        <v>47.6</v>
      </c>
      <c r="Y55" s="182">
        <v>12</v>
      </c>
      <c r="Z55" s="176">
        <v>1.5</v>
      </c>
      <c r="AA55" s="182">
        <v>14.4</v>
      </c>
      <c r="AB55" s="182">
        <v>5.8</v>
      </c>
      <c r="AC55" s="182">
        <v>18.2</v>
      </c>
      <c r="AD55" s="182">
        <v>2.4</v>
      </c>
      <c r="AE55" s="176">
        <v>0.7</v>
      </c>
      <c r="AF55" s="182">
        <v>9.6</v>
      </c>
      <c r="AG55" s="182">
        <v>6.9</v>
      </c>
      <c r="AH55" s="182">
        <v>2.8</v>
      </c>
      <c r="AI55" s="176">
        <v>11.4</v>
      </c>
      <c r="AJ55" s="207">
        <v>6.0517000000000003</v>
      </c>
      <c r="AK55" s="176">
        <v>9</v>
      </c>
      <c r="AL55" s="176" t="s">
        <v>771</v>
      </c>
      <c r="AM55" s="182">
        <f>SUM(X55:AI55)</f>
        <v>133.30000000000001</v>
      </c>
      <c r="AN55" s="185" t="s">
        <v>615</v>
      </c>
      <c r="AO55" s="183" t="s">
        <v>999</v>
      </c>
      <c r="AP55" s="183" t="s">
        <v>255</v>
      </c>
      <c r="AQ55" s="186">
        <f t="shared" si="3"/>
        <v>11.4</v>
      </c>
      <c r="AR55" s="187">
        <v>1</v>
      </c>
    </row>
    <row r="56" spans="1:44">
      <c r="A56" s="176">
        <v>309</v>
      </c>
      <c r="B56" s="180" t="s">
        <v>1003</v>
      </c>
      <c r="C56" s="176" t="s">
        <v>841</v>
      </c>
      <c r="D56" s="176" t="s">
        <v>96</v>
      </c>
      <c r="E56" s="176" t="s">
        <v>307</v>
      </c>
      <c r="F56" s="176" t="s">
        <v>109</v>
      </c>
      <c r="G56" s="176" t="s">
        <v>9</v>
      </c>
      <c r="H56" s="176" t="s">
        <v>19</v>
      </c>
      <c r="I56" s="176" t="s">
        <v>743</v>
      </c>
      <c r="J56" s="176" t="s">
        <v>54</v>
      </c>
      <c r="K56" s="176" t="s">
        <v>264</v>
      </c>
      <c r="L56" s="182">
        <v>37.1</v>
      </c>
      <c r="M56" s="182">
        <v>27.3</v>
      </c>
      <c r="N56" s="182">
        <v>18.399999999999999</v>
      </c>
      <c r="O56" s="182" t="s">
        <v>754</v>
      </c>
      <c r="P56" s="182">
        <v>25.2</v>
      </c>
      <c r="Q56" s="182" t="s">
        <v>770</v>
      </c>
      <c r="R56" s="182">
        <v>14.7</v>
      </c>
      <c r="S56" s="182">
        <v>-4.5999999999999996</v>
      </c>
      <c r="T56" s="182">
        <v>11.9</v>
      </c>
      <c r="U56" s="182">
        <v>5.5</v>
      </c>
      <c r="V56" s="182">
        <v>34.299999999999997</v>
      </c>
      <c r="W56" s="182">
        <v>49</v>
      </c>
      <c r="X56" s="182">
        <v>2.4</v>
      </c>
      <c r="Y56" s="182">
        <v>-5.2</v>
      </c>
      <c r="Z56" s="176">
        <v>-6.2</v>
      </c>
      <c r="AA56" s="182">
        <v>7.4</v>
      </c>
      <c r="AB56" s="182">
        <v>-5.0999999999999996</v>
      </c>
      <c r="AC56" s="182">
        <v>9.5</v>
      </c>
      <c r="AD56" s="182">
        <v>-2</v>
      </c>
      <c r="AE56" s="176">
        <v>-2.4</v>
      </c>
      <c r="AF56" s="182">
        <v>8</v>
      </c>
      <c r="AG56" s="182">
        <v>5.0999999999999996</v>
      </c>
      <c r="AH56" s="182">
        <v>-2.7</v>
      </c>
      <c r="AI56" s="182">
        <v>8.5</v>
      </c>
      <c r="AJ56" s="207">
        <v>4.9546000000000001</v>
      </c>
      <c r="AK56" s="176">
        <v>9</v>
      </c>
      <c r="AL56" s="176" t="s">
        <v>843</v>
      </c>
      <c r="AM56" s="182">
        <f>SUM(L56:AI56)</f>
        <v>236.10000000000005</v>
      </c>
      <c r="AN56" s="185" t="s">
        <v>19</v>
      </c>
      <c r="AO56" s="183" t="s">
        <v>999</v>
      </c>
      <c r="AP56" s="183" t="s">
        <v>255</v>
      </c>
      <c r="AQ56" s="186">
        <f t="shared" si="3"/>
        <v>8.5</v>
      </c>
      <c r="AR56" s="187">
        <v>1</v>
      </c>
    </row>
    <row r="57" spans="1:44">
      <c r="A57" s="176">
        <v>310</v>
      </c>
      <c r="B57" s="180" t="s">
        <v>1003</v>
      </c>
      <c r="C57" s="176" t="s">
        <v>844</v>
      </c>
      <c r="D57" s="176" t="s">
        <v>96</v>
      </c>
      <c r="E57" s="176" t="s">
        <v>110</v>
      </c>
      <c r="F57" s="176" t="s">
        <v>111</v>
      </c>
      <c r="G57" s="176" t="s">
        <v>9</v>
      </c>
      <c r="H57" s="176" t="s">
        <v>10</v>
      </c>
      <c r="I57" s="176" t="s">
        <v>743</v>
      </c>
      <c r="J57" s="176" t="s">
        <v>763</v>
      </c>
      <c r="K57" s="176" t="s">
        <v>270</v>
      </c>
      <c r="L57" s="177"/>
      <c r="M57" s="177"/>
      <c r="N57" s="182">
        <v>16.600000000000001</v>
      </c>
      <c r="O57" s="183" t="s">
        <v>754</v>
      </c>
      <c r="P57" s="183">
        <v>45.8</v>
      </c>
      <c r="Q57" s="182">
        <v>16</v>
      </c>
      <c r="R57" s="182">
        <v>9</v>
      </c>
      <c r="S57" s="182">
        <v>3.8</v>
      </c>
      <c r="T57" s="182">
        <v>9</v>
      </c>
      <c r="U57" s="182" t="s">
        <v>47</v>
      </c>
      <c r="V57" s="182">
        <v>13.8</v>
      </c>
      <c r="W57" s="182">
        <v>27.3</v>
      </c>
      <c r="X57" s="182">
        <v>4.3</v>
      </c>
      <c r="Y57" s="182">
        <v>-8.1999999999999993</v>
      </c>
      <c r="Z57" s="176">
        <v>11.6</v>
      </c>
      <c r="AA57" s="182">
        <v>7.4</v>
      </c>
      <c r="AB57" s="182">
        <v>0.4</v>
      </c>
      <c r="AC57" s="182">
        <v>10.7</v>
      </c>
      <c r="AD57" s="182">
        <v>-0.5</v>
      </c>
      <c r="AE57" s="176">
        <v>0.3</v>
      </c>
      <c r="AF57" s="182">
        <v>7.2</v>
      </c>
      <c r="AG57" s="182">
        <v>7</v>
      </c>
      <c r="AH57" s="182">
        <v>-2.5</v>
      </c>
      <c r="AI57" s="176">
        <v>11.6</v>
      </c>
      <c r="AJ57" s="207">
        <v>10.9224</v>
      </c>
      <c r="AK57" s="176">
        <v>9</v>
      </c>
      <c r="AL57" s="176" t="s">
        <v>845</v>
      </c>
      <c r="AM57" s="182">
        <f>SUM(V57:AI57)</f>
        <v>90.399999999999991</v>
      </c>
      <c r="AN57" s="185" t="s">
        <v>613</v>
      </c>
      <c r="AO57" s="183" t="s">
        <v>999</v>
      </c>
      <c r="AP57" s="183" t="s">
        <v>255</v>
      </c>
      <c r="AQ57" s="186">
        <f t="shared" si="3"/>
        <v>11.6</v>
      </c>
      <c r="AR57" s="187">
        <v>1</v>
      </c>
    </row>
    <row r="58" spans="1:44">
      <c r="A58" s="176">
        <v>311</v>
      </c>
      <c r="B58" s="180" t="s">
        <v>1003</v>
      </c>
      <c r="C58" s="176" t="s">
        <v>846</v>
      </c>
      <c r="D58" s="176" t="s">
        <v>96</v>
      </c>
      <c r="E58" s="176" t="s">
        <v>112</v>
      </c>
      <c r="F58" s="176" t="s">
        <v>113</v>
      </c>
      <c r="G58" s="176" t="s">
        <v>9</v>
      </c>
      <c r="H58" s="176" t="s">
        <v>10</v>
      </c>
      <c r="I58" s="176" t="s">
        <v>743</v>
      </c>
      <c r="J58" s="176" t="s">
        <v>763</v>
      </c>
      <c r="K58" s="176" t="s">
        <v>270</v>
      </c>
      <c r="L58" s="177"/>
      <c r="M58" s="177"/>
      <c r="N58" s="182">
        <v>12.4</v>
      </c>
      <c r="O58" s="182">
        <v>-0.4</v>
      </c>
      <c r="P58" s="182">
        <v>14.1</v>
      </c>
      <c r="Q58" s="182">
        <v>13.3</v>
      </c>
      <c r="R58" s="182">
        <v>2.2999999999999998</v>
      </c>
      <c r="S58" s="182">
        <v>-2.2000000000000002</v>
      </c>
      <c r="T58" s="182">
        <v>10.199999999999999</v>
      </c>
      <c r="U58" s="182">
        <v>3.5</v>
      </c>
      <c r="V58" s="182">
        <v>12.7</v>
      </c>
      <c r="W58" s="182">
        <v>31.2</v>
      </c>
      <c r="X58" s="182">
        <v>5.2</v>
      </c>
      <c r="Y58" s="182">
        <v>-7.7</v>
      </c>
      <c r="Z58" s="176">
        <v>6.6</v>
      </c>
      <c r="AA58" s="182">
        <v>5.7</v>
      </c>
      <c r="AB58" s="182">
        <v>-1.8</v>
      </c>
      <c r="AC58" s="182">
        <v>8.8000000000000007</v>
      </c>
      <c r="AD58" s="182">
        <v>-2.2000000000000002</v>
      </c>
      <c r="AE58" s="176">
        <v>-2.4</v>
      </c>
      <c r="AF58" s="182">
        <v>6.7</v>
      </c>
      <c r="AG58" s="182">
        <v>5.7</v>
      </c>
      <c r="AH58" s="182">
        <v>-1.6</v>
      </c>
      <c r="AI58" s="176">
        <v>9.4</v>
      </c>
      <c r="AJ58" s="207">
        <v>10.3009</v>
      </c>
      <c r="AK58" s="176">
        <v>9</v>
      </c>
      <c r="AL58" s="176"/>
      <c r="AM58" s="182">
        <f>SUM(L58:AI58)</f>
        <v>129.5</v>
      </c>
      <c r="AN58" s="185" t="s">
        <v>10</v>
      </c>
      <c r="AO58" s="183" t="s">
        <v>999</v>
      </c>
      <c r="AP58" s="183" t="s">
        <v>255</v>
      </c>
      <c r="AQ58" s="186">
        <f t="shared" si="3"/>
        <v>9.4</v>
      </c>
      <c r="AR58" s="187">
        <v>1</v>
      </c>
    </row>
    <row r="59" spans="1:44">
      <c r="A59" s="176">
        <v>312</v>
      </c>
      <c r="B59" s="180" t="s">
        <v>1003</v>
      </c>
      <c r="C59" s="176" t="s">
        <v>847</v>
      </c>
      <c r="D59" s="176" t="s">
        <v>96</v>
      </c>
      <c r="E59" s="176" t="s">
        <v>241</v>
      </c>
      <c r="F59" s="176" t="s">
        <v>114</v>
      </c>
      <c r="G59" s="176" t="s">
        <v>9</v>
      </c>
      <c r="H59" s="176" t="s">
        <v>10</v>
      </c>
      <c r="I59" s="176" t="s">
        <v>743</v>
      </c>
      <c r="J59" s="176" t="s">
        <v>98</v>
      </c>
      <c r="K59" s="176" t="s">
        <v>270</v>
      </c>
      <c r="L59" s="177"/>
      <c r="M59" s="177"/>
      <c r="N59" s="182">
        <v>6.3</v>
      </c>
      <c r="O59" s="183" t="s">
        <v>754</v>
      </c>
      <c r="P59" s="183">
        <v>19.399999999999999</v>
      </c>
      <c r="Q59" s="182">
        <v>9.1</v>
      </c>
      <c r="R59" s="182">
        <v>3.5</v>
      </c>
      <c r="S59" s="182">
        <v>1.7</v>
      </c>
      <c r="T59" s="182">
        <v>6</v>
      </c>
      <c r="U59" s="182">
        <v>4.4000000000000004</v>
      </c>
      <c r="V59" s="182">
        <v>5</v>
      </c>
      <c r="W59" s="182">
        <v>11.3</v>
      </c>
      <c r="X59" s="182">
        <v>-0.5</v>
      </c>
      <c r="Y59" s="182">
        <v>-10.5</v>
      </c>
      <c r="Z59" s="176">
        <v>11.6</v>
      </c>
      <c r="AA59" s="182">
        <v>5.7</v>
      </c>
      <c r="AB59" s="182">
        <v>-0.4</v>
      </c>
      <c r="AC59" s="182">
        <v>10.199999999999999</v>
      </c>
      <c r="AD59" s="182">
        <v>-0.4</v>
      </c>
      <c r="AE59" s="176">
        <v>0.2</v>
      </c>
      <c r="AF59" s="182">
        <v>6.6</v>
      </c>
      <c r="AG59" s="182">
        <v>6.5</v>
      </c>
      <c r="AH59" s="182">
        <v>-5.2</v>
      </c>
      <c r="AI59" s="176">
        <v>10.8</v>
      </c>
      <c r="AJ59" s="207">
        <v>11.9679</v>
      </c>
      <c r="AK59" s="176">
        <v>9</v>
      </c>
      <c r="AL59" s="176"/>
      <c r="AM59" s="182">
        <f>SUM(L59:AI59)</f>
        <v>101.29999999999998</v>
      </c>
      <c r="AN59" s="185" t="s">
        <v>10</v>
      </c>
      <c r="AO59" s="183" t="s">
        <v>999</v>
      </c>
      <c r="AP59" s="183" t="s">
        <v>255</v>
      </c>
      <c r="AQ59" s="186">
        <f t="shared" si="3"/>
        <v>10.8</v>
      </c>
      <c r="AR59" s="187">
        <v>1</v>
      </c>
    </row>
    <row r="60" spans="1:44">
      <c r="A60" s="176">
        <v>313</v>
      </c>
      <c r="B60" s="180"/>
      <c r="C60" s="176" t="s">
        <v>849</v>
      </c>
      <c r="D60" s="176" t="s">
        <v>96</v>
      </c>
      <c r="E60" s="176" t="s">
        <v>115</v>
      </c>
      <c r="F60" s="176" t="s">
        <v>116</v>
      </c>
      <c r="G60" s="176" t="s">
        <v>9</v>
      </c>
      <c r="H60" s="176" t="s">
        <v>10</v>
      </c>
      <c r="I60" s="176" t="s">
        <v>743</v>
      </c>
      <c r="J60" s="176" t="s">
        <v>54</v>
      </c>
      <c r="K60" s="176" t="s">
        <v>270</v>
      </c>
      <c r="L60" s="177"/>
      <c r="M60" s="177"/>
      <c r="N60" s="182">
        <v>16.5</v>
      </c>
      <c r="O60" s="182">
        <v>1.4</v>
      </c>
      <c r="P60" s="182">
        <v>53.8</v>
      </c>
      <c r="Q60" s="182">
        <v>75.400000000000006</v>
      </c>
      <c r="R60" s="182">
        <v>18.7</v>
      </c>
      <c r="S60" s="182">
        <v>12.3</v>
      </c>
      <c r="T60" s="182">
        <v>43.5</v>
      </c>
      <c r="U60" s="182">
        <v>51.6</v>
      </c>
      <c r="V60" s="182">
        <v>67.5</v>
      </c>
      <c r="W60" s="182" t="s">
        <v>47</v>
      </c>
      <c r="X60" s="182" t="s">
        <v>770</v>
      </c>
      <c r="Y60" s="183" t="s">
        <v>756</v>
      </c>
      <c r="Z60" s="177"/>
      <c r="AA60" s="177"/>
      <c r="AB60" s="183">
        <v>47.1</v>
      </c>
      <c r="AC60" s="173" t="s">
        <v>744</v>
      </c>
      <c r="AD60" s="177"/>
      <c r="AE60" s="177">
        <v>19.5</v>
      </c>
      <c r="AF60" s="173" t="s">
        <v>744</v>
      </c>
      <c r="AG60" s="183"/>
      <c r="AH60" s="183">
        <v>24.2</v>
      </c>
      <c r="AI60" s="183" t="s">
        <v>247</v>
      </c>
      <c r="AJ60" s="207">
        <v>6.5350999999999999</v>
      </c>
      <c r="AK60" s="176">
        <v>8</v>
      </c>
      <c r="AL60" s="176" t="s">
        <v>850</v>
      </c>
      <c r="AM60" s="182">
        <f>SUM(AB60:AH60)</f>
        <v>90.8</v>
      </c>
      <c r="AN60" s="185" t="s">
        <v>616</v>
      </c>
      <c r="AO60" s="183" t="s">
        <v>999</v>
      </c>
      <c r="AP60" s="183" t="s">
        <v>545</v>
      </c>
      <c r="AQ60" s="186">
        <f>AH60/AR60</f>
        <v>8.0666666666666664</v>
      </c>
      <c r="AR60" s="187">
        <v>3</v>
      </c>
    </row>
    <row r="61" spans="1:44">
      <c r="A61" s="176">
        <v>314</v>
      </c>
      <c r="B61" s="180"/>
      <c r="C61" s="176" t="s">
        <v>851</v>
      </c>
      <c r="D61" s="176" t="s">
        <v>96</v>
      </c>
      <c r="E61" s="176" t="s">
        <v>852</v>
      </c>
      <c r="F61" s="176" t="s">
        <v>853</v>
      </c>
      <c r="G61" s="176" t="s">
        <v>9</v>
      </c>
      <c r="H61" s="176" t="s">
        <v>31</v>
      </c>
      <c r="I61" s="176" t="s">
        <v>743</v>
      </c>
      <c r="J61" s="176" t="s">
        <v>54</v>
      </c>
      <c r="K61" s="176" t="s">
        <v>270</v>
      </c>
      <c r="L61" s="177"/>
      <c r="M61" s="177"/>
      <c r="N61" s="177"/>
      <c r="O61" s="177"/>
      <c r="P61" s="177"/>
      <c r="Q61" s="182">
        <v>15.5</v>
      </c>
      <c r="R61" s="182">
        <v>37.299999999999997</v>
      </c>
      <c r="S61" s="182">
        <v>15.5</v>
      </c>
      <c r="T61" s="182">
        <v>36</v>
      </c>
      <c r="U61" s="182">
        <v>22.6</v>
      </c>
      <c r="V61" s="182">
        <v>45.6</v>
      </c>
      <c r="W61" s="183" t="s">
        <v>775</v>
      </c>
      <c r="X61" s="177"/>
      <c r="Y61" s="177"/>
      <c r="Z61" s="177"/>
      <c r="AA61" s="177"/>
      <c r="AB61" s="183">
        <v>155.5</v>
      </c>
      <c r="AC61" s="173" t="s">
        <v>744</v>
      </c>
      <c r="AD61" s="177"/>
      <c r="AE61" s="177">
        <v>20.5</v>
      </c>
      <c r="AF61" s="173" t="s">
        <v>744</v>
      </c>
      <c r="AG61" s="183"/>
      <c r="AH61" s="183">
        <v>41.5</v>
      </c>
      <c r="AI61" s="183" t="s">
        <v>247</v>
      </c>
      <c r="AJ61" s="207">
        <v>4.5713999999999997</v>
      </c>
      <c r="AK61" s="176">
        <v>8</v>
      </c>
      <c r="AL61" s="176"/>
      <c r="AM61" s="182">
        <f>SUM(L61:AH61)</f>
        <v>390</v>
      </c>
      <c r="AN61" s="185" t="s">
        <v>31</v>
      </c>
      <c r="AO61" s="183" t="s">
        <v>999</v>
      </c>
      <c r="AP61" s="183" t="s">
        <v>545</v>
      </c>
      <c r="AQ61" s="186">
        <f>AH61/AR61</f>
        <v>13.833333333333334</v>
      </c>
      <c r="AR61" s="187">
        <v>3</v>
      </c>
    </row>
    <row r="62" spans="1:44">
      <c r="A62" s="176">
        <v>315</v>
      </c>
      <c r="B62" s="180"/>
      <c r="C62" s="176" t="s">
        <v>854</v>
      </c>
      <c r="D62" s="176" t="s">
        <v>96</v>
      </c>
      <c r="E62" s="176" t="s">
        <v>117</v>
      </c>
      <c r="F62" s="176" t="s">
        <v>118</v>
      </c>
      <c r="G62" s="176" t="s">
        <v>9</v>
      </c>
      <c r="H62" s="176" t="s">
        <v>31</v>
      </c>
      <c r="I62" s="176" t="s">
        <v>64</v>
      </c>
      <c r="J62" s="176" t="s">
        <v>763</v>
      </c>
      <c r="K62" s="176" t="s">
        <v>270</v>
      </c>
      <c r="L62" s="177"/>
      <c r="M62" s="177"/>
      <c r="N62" s="177"/>
      <c r="O62" s="177"/>
      <c r="P62" s="177"/>
      <c r="Q62" s="182">
        <v>16.899999999999999</v>
      </c>
      <c r="R62" s="182">
        <v>3.7</v>
      </c>
      <c r="S62" s="182">
        <v>-6.9</v>
      </c>
      <c r="T62" s="182">
        <v>5.3</v>
      </c>
      <c r="U62" s="182">
        <v>-1</v>
      </c>
      <c r="V62" s="182">
        <v>4.7</v>
      </c>
      <c r="W62" s="183" t="s">
        <v>775</v>
      </c>
      <c r="X62" s="177"/>
      <c r="Y62" s="177"/>
      <c r="Z62" s="177"/>
      <c r="AA62" s="177"/>
      <c r="AB62" s="183">
        <v>54.9</v>
      </c>
      <c r="AC62" s="173" t="s">
        <v>744</v>
      </c>
      <c r="AD62" s="177"/>
      <c r="AE62" s="177">
        <v>13.4</v>
      </c>
      <c r="AF62" s="173" t="s">
        <v>744</v>
      </c>
      <c r="AG62" s="183"/>
      <c r="AH62" s="183">
        <v>14.7</v>
      </c>
      <c r="AI62" s="183" t="s">
        <v>247</v>
      </c>
      <c r="AJ62" s="207">
        <v>4.2469999999999999</v>
      </c>
      <c r="AK62" s="176">
        <v>8</v>
      </c>
      <c r="AL62" s="176" t="s">
        <v>855</v>
      </c>
      <c r="AM62" s="182">
        <f>SUM(L62:AH62)</f>
        <v>105.7</v>
      </c>
      <c r="AN62" s="185" t="s">
        <v>31</v>
      </c>
      <c r="AO62" s="183" t="s">
        <v>999</v>
      </c>
      <c r="AP62" s="183" t="s">
        <v>545</v>
      </c>
      <c r="AQ62" s="186">
        <f>AH62/AR62</f>
        <v>4.8999999999999995</v>
      </c>
      <c r="AR62" s="187">
        <v>3</v>
      </c>
    </row>
    <row r="63" spans="1:44">
      <c r="A63" s="176">
        <v>316</v>
      </c>
      <c r="B63" s="180"/>
      <c r="C63" s="176" t="s">
        <v>856</v>
      </c>
      <c r="D63" s="176" t="s">
        <v>96</v>
      </c>
      <c r="E63" s="176" t="s">
        <v>857</v>
      </c>
      <c r="F63" s="176" t="s">
        <v>858</v>
      </c>
      <c r="G63" s="176" t="s">
        <v>9</v>
      </c>
      <c r="H63" s="176" t="s">
        <v>31</v>
      </c>
      <c r="I63" s="176" t="s">
        <v>64</v>
      </c>
      <c r="J63" s="176" t="s">
        <v>763</v>
      </c>
      <c r="K63" s="176" t="s">
        <v>270</v>
      </c>
      <c r="L63" s="177"/>
      <c r="M63" s="177"/>
      <c r="N63" s="177"/>
      <c r="O63" s="177"/>
      <c r="P63" s="177"/>
      <c r="Q63" s="182">
        <v>43.2</v>
      </c>
      <c r="R63" s="182">
        <v>26.8</v>
      </c>
      <c r="S63" s="182">
        <v>-6.4</v>
      </c>
      <c r="T63" s="182">
        <v>17.399999999999999</v>
      </c>
      <c r="U63" s="182">
        <v>14.1</v>
      </c>
      <c r="V63" s="182" t="s">
        <v>770</v>
      </c>
      <c r="W63" s="177"/>
      <c r="X63" s="177"/>
      <c r="Y63" s="177"/>
      <c r="Z63" s="177" t="s">
        <v>20</v>
      </c>
      <c r="AA63" s="177"/>
      <c r="AB63" s="177"/>
      <c r="AC63" s="177"/>
      <c r="AD63" s="177"/>
      <c r="AE63" s="177"/>
      <c r="AF63" s="183"/>
      <c r="AG63" s="183"/>
      <c r="AH63" s="183"/>
      <c r="AI63" s="183" t="s">
        <v>247</v>
      </c>
      <c r="AJ63" s="207">
        <v>4.1510999999999996</v>
      </c>
      <c r="AK63" s="176">
        <v>59</v>
      </c>
      <c r="AL63" s="176" t="s">
        <v>859</v>
      </c>
      <c r="AM63" s="182"/>
      <c r="AN63" s="185"/>
      <c r="AO63" s="183"/>
      <c r="AP63" s="183"/>
      <c r="AQ63" s="186"/>
      <c r="AR63" s="187"/>
    </row>
    <row r="64" spans="1:44">
      <c r="A64" s="176">
        <v>317</v>
      </c>
      <c r="B64" s="180"/>
      <c r="C64" s="176" t="s">
        <v>860</v>
      </c>
      <c r="D64" s="176" t="s">
        <v>96</v>
      </c>
      <c r="E64" s="176" t="s">
        <v>1050</v>
      </c>
      <c r="F64" s="176" t="s">
        <v>119</v>
      </c>
      <c r="G64" s="176" t="s">
        <v>12</v>
      </c>
      <c r="H64" s="176" t="s">
        <v>10</v>
      </c>
      <c r="I64" s="176" t="s">
        <v>743</v>
      </c>
      <c r="J64" s="176" t="s">
        <v>763</v>
      </c>
      <c r="K64" s="176" t="s">
        <v>270</v>
      </c>
      <c r="L64" s="177"/>
      <c r="M64" s="177"/>
      <c r="N64" s="182">
        <v>11.4</v>
      </c>
      <c r="O64" s="183" t="s">
        <v>754</v>
      </c>
      <c r="P64" s="183">
        <v>5.3</v>
      </c>
      <c r="Q64" s="182">
        <v>12.8</v>
      </c>
      <c r="R64" s="182">
        <v>2.7</v>
      </c>
      <c r="S64" s="182">
        <v>2.4</v>
      </c>
      <c r="T64" s="182">
        <v>10.8</v>
      </c>
      <c r="U64" s="182">
        <v>3.2</v>
      </c>
      <c r="V64" s="182">
        <v>5.5</v>
      </c>
      <c r="W64" s="182">
        <v>14</v>
      </c>
      <c r="X64" s="182">
        <v>0.3</v>
      </c>
      <c r="Y64" s="183" t="s">
        <v>756</v>
      </c>
      <c r="Z64" s="177"/>
      <c r="AA64" s="177"/>
      <c r="AB64" s="183">
        <v>17.600000000000001</v>
      </c>
      <c r="AC64" s="173" t="s">
        <v>744</v>
      </c>
      <c r="AD64" s="177"/>
      <c r="AE64" s="177">
        <v>7.7</v>
      </c>
      <c r="AF64" s="173" t="s">
        <v>744</v>
      </c>
      <c r="AG64" s="183"/>
      <c r="AH64" s="183">
        <v>15.4</v>
      </c>
      <c r="AI64" s="183" t="s">
        <v>247</v>
      </c>
      <c r="AJ64" s="207">
        <v>11.280799999999999</v>
      </c>
      <c r="AK64" s="176">
        <v>8</v>
      </c>
      <c r="AL64" s="176"/>
      <c r="AM64" s="182">
        <f>SUM(L64:AH64)</f>
        <v>109.10000000000001</v>
      </c>
      <c r="AN64" s="185" t="s">
        <v>10</v>
      </c>
      <c r="AO64" s="183" t="s">
        <v>999</v>
      </c>
      <c r="AP64" s="183" t="s">
        <v>545</v>
      </c>
      <c r="AQ64" s="186">
        <f>AH64/AR64</f>
        <v>5.1333333333333337</v>
      </c>
      <c r="AR64" s="187">
        <v>3</v>
      </c>
    </row>
    <row r="65" spans="1:44">
      <c r="A65" s="176">
        <v>318</v>
      </c>
      <c r="B65" s="180"/>
      <c r="C65" s="176" t="s">
        <v>862</v>
      </c>
      <c r="D65" s="176" t="s">
        <v>96</v>
      </c>
      <c r="E65" s="176" t="s">
        <v>863</v>
      </c>
      <c r="F65" s="176" t="s">
        <v>864</v>
      </c>
      <c r="G65" s="176" t="s">
        <v>12</v>
      </c>
      <c r="H65" s="176" t="s">
        <v>10</v>
      </c>
      <c r="I65" s="176" t="s">
        <v>64</v>
      </c>
      <c r="J65" s="176" t="s">
        <v>763</v>
      </c>
      <c r="K65" s="176" t="s">
        <v>270</v>
      </c>
      <c r="L65" s="177"/>
      <c r="M65" s="177"/>
      <c r="N65" s="182">
        <v>17.7</v>
      </c>
      <c r="O65" s="182">
        <v>-6</v>
      </c>
      <c r="P65" s="182">
        <v>20.7</v>
      </c>
      <c r="Q65" s="182">
        <v>15.5</v>
      </c>
      <c r="R65" s="182">
        <v>-0.8</v>
      </c>
      <c r="S65" s="182">
        <v>5.6</v>
      </c>
      <c r="T65" s="182">
        <v>14</v>
      </c>
      <c r="U65" s="182">
        <v>9</v>
      </c>
      <c r="V65" s="182">
        <v>10.7</v>
      </c>
      <c r="W65" s="182">
        <v>19.5</v>
      </c>
      <c r="X65" s="182">
        <v>2</v>
      </c>
      <c r="Y65" s="183" t="s">
        <v>120</v>
      </c>
      <c r="Z65" s="177"/>
      <c r="AA65" s="177"/>
      <c r="AB65" s="177"/>
      <c r="AC65" s="177"/>
      <c r="AD65" s="177"/>
      <c r="AE65" s="177"/>
      <c r="AF65" s="183"/>
      <c r="AG65" s="183"/>
      <c r="AH65" s="183">
        <v>77.2</v>
      </c>
      <c r="AI65" s="183" t="s">
        <v>247</v>
      </c>
      <c r="AJ65" s="207">
        <v>9.9271999999999991</v>
      </c>
      <c r="AK65" s="176">
        <v>8</v>
      </c>
      <c r="AL65" s="176"/>
      <c r="AM65" s="182">
        <f>SUM(L65:AH65)</f>
        <v>185.10000000000002</v>
      </c>
      <c r="AN65" s="185" t="s">
        <v>10</v>
      </c>
      <c r="AO65" s="183" t="s">
        <v>999</v>
      </c>
      <c r="AP65" s="183" t="s">
        <v>545</v>
      </c>
      <c r="AQ65" s="186">
        <f>AH65/AR65</f>
        <v>7.7200000000000006</v>
      </c>
      <c r="AR65" s="187">
        <v>10</v>
      </c>
    </row>
    <row r="66" spans="1:44">
      <c r="A66" s="176">
        <v>319</v>
      </c>
      <c r="B66" s="180"/>
      <c r="C66" s="176" t="s">
        <v>865</v>
      </c>
      <c r="D66" s="176" t="s">
        <v>96</v>
      </c>
      <c r="E66" s="176" t="s">
        <v>121</v>
      </c>
      <c r="F66" s="176" t="s">
        <v>122</v>
      </c>
      <c r="G66" s="176" t="s">
        <v>12</v>
      </c>
      <c r="H66" s="176" t="s">
        <v>31</v>
      </c>
      <c r="I66" s="176" t="s">
        <v>64</v>
      </c>
      <c r="J66" s="176" t="s">
        <v>763</v>
      </c>
      <c r="K66" s="176" t="s">
        <v>270</v>
      </c>
      <c r="L66" s="177"/>
      <c r="M66" s="177"/>
      <c r="N66" s="177"/>
      <c r="O66" s="177"/>
      <c r="P66" s="177"/>
      <c r="Q66" s="182">
        <v>16.600000000000001</v>
      </c>
      <c r="R66" s="182">
        <v>4.5999999999999996</v>
      </c>
      <c r="S66" s="182">
        <v>5.0999999999999996</v>
      </c>
      <c r="T66" s="182">
        <v>16.2</v>
      </c>
      <c r="U66" s="183" t="s">
        <v>754</v>
      </c>
      <c r="V66" s="183">
        <v>14.4</v>
      </c>
      <c r="W66" s="183" t="s">
        <v>95</v>
      </c>
      <c r="X66" s="177"/>
      <c r="Y66" s="177"/>
      <c r="Z66" s="177"/>
      <c r="AA66" s="177"/>
      <c r="AB66" s="177"/>
      <c r="AC66" s="177"/>
      <c r="AD66" s="177"/>
      <c r="AE66" s="177"/>
      <c r="AF66" s="183"/>
      <c r="AG66" s="183"/>
      <c r="AH66" s="183">
        <v>61.4</v>
      </c>
      <c r="AI66" s="183" t="s">
        <v>247</v>
      </c>
      <c r="AJ66" s="207">
        <v>9.5336999999999996</v>
      </c>
      <c r="AK66" s="176">
        <v>8</v>
      </c>
      <c r="AL66" s="176"/>
      <c r="AM66" s="182">
        <f>SUM(L66:AH66)</f>
        <v>118.3</v>
      </c>
      <c r="AN66" s="185" t="s">
        <v>31</v>
      </c>
      <c r="AO66" s="183" t="s">
        <v>999</v>
      </c>
      <c r="AP66" s="183" t="s">
        <v>545</v>
      </c>
      <c r="AQ66" s="186">
        <f>AH66/AR66</f>
        <v>5.1166666666666663</v>
      </c>
      <c r="AR66" s="187">
        <v>12</v>
      </c>
    </row>
    <row r="67" spans="1:44">
      <c r="A67" s="176">
        <v>320</v>
      </c>
      <c r="B67" s="180"/>
      <c r="C67" s="176" t="s">
        <v>866</v>
      </c>
      <c r="D67" s="176" t="s">
        <v>96</v>
      </c>
      <c r="E67" s="176" t="s">
        <v>867</v>
      </c>
      <c r="F67" s="176" t="s">
        <v>123</v>
      </c>
      <c r="G67" s="176" t="s">
        <v>9</v>
      </c>
      <c r="H67" s="176" t="s">
        <v>10</v>
      </c>
      <c r="I67" s="176" t="s">
        <v>64</v>
      </c>
      <c r="J67" s="176" t="s">
        <v>763</v>
      </c>
      <c r="K67" s="176" t="s">
        <v>270</v>
      </c>
      <c r="L67" s="177"/>
      <c r="M67" s="177"/>
      <c r="N67" s="182">
        <v>12</v>
      </c>
      <c r="O67" s="183" t="s">
        <v>754</v>
      </c>
      <c r="P67" s="183">
        <v>19.2</v>
      </c>
      <c r="Q67" s="182">
        <v>23.1</v>
      </c>
      <c r="R67" s="182">
        <v>3.4</v>
      </c>
      <c r="S67" s="182">
        <v>2.1</v>
      </c>
      <c r="T67" s="182">
        <v>17.399999999999999</v>
      </c>
      <c r="U67" s="182">
        <v>-0.6</v>
      </c>
      <c r="V67" s="182">
        <v>18.399999999999999</v>
      </c>
      <c r="W67" s="182">
        <v>35.4</v>
      </c>
      <c r="X67" s="182">
        <v>10.6</v>
      </c>
      <c r="Y67" s="183" t="s">
        <v>756</v>
      </c>
      <c r="Z67" s="177"/>
      <c r="AA67" s="177"/>
      <c r="AB67" s="183">
        <v>18.399999999999999</v>
      </c>
      <c r="AC67" s="173" t="s">
        <v>744</v>
      </c>
      <c r="AD67" s="177"/>
      <c r="AE67" s="177">
        <v>9.1999999999999993</v>
      </c>
      <c r="AF67" s="173" t="s">
        <v>744</v>
      </c>
      <c r="AG67" s="183"/>
      <c r="AH67" s="183">
        <v>16.7</v>
      </c>
      <c r="AI67" s="183" t="s">
        <v>247</v>
      </c>
      <c r="AJ67" s="207">
        <v>7.4264000000000001</v>
      </c>
      <c r="AK67" s="176">
        <v>8</v>
      </c>
      <c r="AL67" s="176"/>
      <c r="AM67" s="182">
        <f>SUM(L67:AH67)</f>
        <v>185.29999999999998</v>
      </c>
      <c r="AN67" s="185" t="s">
        <v>10</v>
      </c>
      <c r="AO67" s="183" t="s">
        <v>999</v>
      </c>
      <c r="AP67" s="183" t="s">
        <v>545</v>
      </c>
      <c r="AQ67" s="186">
        <f>AH67/AR67</f>
        <v>5.5666666666666664</v>
      </c>
      <c r="AR67" s="187">
        <v>3</v>
      </c>
    </row>
    <row r="68" spans="1:44">
      <c r="A68" s="176">
        <v>321</v>
      </c>
      <c r="B68" s="180" t="s">
        <v>1003</v>
      </c>
      <c r="C68" s="176" t="s">
        <v>868</v>
      </c>
      <c r="D68" s="176" t="s">
        <v>96</v>
      </c>
      <c r="E68" s="176" t="s">
        <v>124</v>
      </c>
      <c r="F68" s="176" t="s">
        <v>125</v>
      </c>
      <c r="G68" s="176" t="s">
        <v>9</v>
      </c>
      <c r="H68" s="176" t="s">
        <v>31</v>
      </c>
      <c r="I68" s="176" t="s">
        <v>64</v>
      </c>
      <c r="J68" s="176" t="s">
        <v>763</v>
      </c>
      <c r="K68" s="176" t="s">
        <v>270</v>
      </c>
      <c r="L68" s="177"/>
      <c r="M68" s="177"/>
      <c r="N68" s="177"/>
      <c r="O68" s="177"/>
      <c r="P68" s="177"/>
      <c r="Q68" s="182">
        <v>21.7</v>
      </c>
      <c r="R68" s="182">
        <v>7</v>
      </c>
      <c r="S68" s="182">
        <v>-1</v>
      </c>
      <c r="T68" s="182">
        <v>15.1</v>
      </c>
      <c r="U68" s="182">
        <v>-3.2</v>
      </c>
      <c r="V68" s="182">
        <v>25.2</v>
      </c>
      <c r="W68" s="182" t="s">
        <v>770</v>
      </c>
      <c r="X68" s="182">
        <v>14.8</v>
      </c>
      <c r="Y68" s="182">
        <v>-2.2999999999999998</v>
      </c>
      <c r="Z68" s="176">
        <v>5.8</v>
      </c>
      <c r="AA68" s="182">
        <v>8.1999999999999993</v>
      </c>
      <c r="AB68" s="182">
        <v>-2.2999999999999998</v>
      </c>
      <c r="AC68" s="182">
        <v>9</v>
      </c>
      <c r="AD68" s="182">
        <v>-0.6</v>
      </c>
      <c r="AE68" s="182">
        <v>-2</v>
      </c>
      <c r="AF68" s="182">
        <v>6.3</v>
      </c>
      <c r="AG68" s="182">
        <v>6.1</v>
      </c>
      <c r="AH68" s="182">
        <v>-0.3</v>
      </c>
      <c r="AI68" s="204">
        <v>10.4</v>
      </c>
      <c r="AJ68" s="205">
        <v>8.3282000000000007</v>
      </c>
      <c r="AK68" s="176">
        <v>9</v>
      </c>
      <c r="AL68" s="176" t="s">
        <v>771</v>
      </c>
      <c r="AM68" s="182">
        <f>SUM(X68:AI68)</f>
        <v>53.1</v>
      </c>
      <c r="AN68" s="185" t="s">
        <v>615</v>
      </c>
      <c r="AO68" s="183" t="s">
        <v>999</v>
      </c>
      <c r="AP68" s="183" t="s">
        <v>255</v>
      </c>
      <c r="AQ68" s="186">
        <f>AI68/AR68</f>
        <v>10.4</v>
      </c>
      <c r="AR68" s="187">
        <v>1</v>
      </c>
    </row>
    <row r="69" spans="1:44">
      <c r="A69" s="176">
        <v>322</v>
      </c>
      <c r="B69" s="180"/>
      <c r="C69" s="176" t="s">
        <v>869</v>
      </c>
      <c r="D69" s="176" t="s">
        <v>96</v>
      </c>
      <c r="E69" s="176" t="s">
        <v>277</v>
      </c>
      <c r="F69" s="176" t="s">
        <v>126</v>
      </c>
      <c r="G69" s="176" t="s">
        <v>9</v>
      </c>
      <c r="H69" s="176" t="s">
        <v>127</v>
      </c>
      <c r="I69" s="176" t="s">
        <v>1051</v>
      </c>
      <c r="J69" s="176" t="s">
        <v>54</v>
      </c>
      <c r="K69" s="176" t="s">
        <v>270</v>
      </c>
      <c r="L69" s="177"/>
      <c r="M69" s="177"/>
      <c r="N69" s="177"/>
      <c r="O69" s="177"/>
      <c r="P69" s="177"/>
      <c r="Q69" s="177"/>
      <c r="R69" s="182">
        <v>11.9</v>
      </c>
      <c r="S69" s="182">
        <v>1.9</v>
      </c>
      <c r="T69" s="182">
        <v>19.8</v>
      </c>
      <c r="U69" s="182">
        <v>-3.5</v>
      </c>
      <c r="V69" s="182">
        <v>49.9</v>
      </c>
      <c r="W69" s="182">
        <v>28.7</v>
      </c>
      <c r="X69" s="182">
        <v>28.6</v>
      </c>
      <c r="Y69" s="183" t="s">
        <v>756</v>
      </c>
      <c r="Z69" s="177"/>
      <c r="AA69" s="177"/>
      <c r="AB69" s="183">
        <v>86.3</v>
      </c>
      <c r="AC69" s="173" t="s">
        <v>744</v>
      </c>
      <c r="AD69" s="177"/>
      <c r="AE69" s="177" t="s">
        <v>770</v>
      </c>
      <c r="AF69" s="173" t="s">
        <v>744</v>
      </c>
      <c r="AG69" s="183"/>
      <c r="AH69" s="183" t="s">
        <v>770</v>
      </c>
      <c r="AI69" s="183" t="s">
        <v>247</v>
      </c>
      <c r="AJ69" s="207">
        <v>3.8271999999999999</v>
      </c>
      <c r="AK69" s="176">
        <v>8</v>
      </c>
      <c r="AL69" s="176" t="s">
        <v>1019</v>
      </c>
      <c r="AM69" s="182"/>
      <c r="AN69" s="185"/>
      <c r="AO69" s="183"/>
      <c r="AP69" s="183"/>
      <c r="AQ69" s="186"/>
      <c r="AR69" s="187"/>
    </row>
    <row r="70" spans="1:44">
      <c r="A70" s="176">
        <v>323</v>
      </c>
      <c r="B70" s="180"/>
      <c r="C70" s="176" t="s">
        <v>872</v>
      </c>
      <c r="D70" s="176" t="s">
        <v>96</v>
      </c>
      <c r="E70" s="176" t="s">
        <v>278</v>
      </c>
      <c r="F70" s="176" t="s">
        <v>128</v>
      </c>
      <c r="G70" s="176" t="s">
        <v>9</v>
      </c>
      <c r="H70" s="176" t="s">
        <v>31</v>
      </c>
      <c r="I70" s="176" t="s">
        <v>743</v>
      </c>
      <c r="J70" s="176" t="s">
        <v>763</v>
      </c>
      <c r="K70" s="176" t="s">
        <v>270</v>
      </c>
      <c r="L70" s="177"/>
      <c r="M70" s="177"/>
      <c r="N70" s="177"/>
      <c r="O70" s="177"/>
      <c r="P70" s="177"/>
      <c r="Q70" s="182">
        <v>60.7</v>
      </c>
      <c r="R70" s="182">
        <v>0.9</v>
      </c>
      <c r="S70" s="182">
        <v>-1.5</v>
      </c>
      <c r="T70" s="182">
        <v>21.8</v>
      </c>
      <c r="U70" s="182">
        <v>-1</v>
      </c>
      <c r="V70" s="182">
        <v>14.3</v>
      </c>
      <c r="W70" s="183" t="s">
        <v>775</v>
      </c>
      <c r="X70" s="177"/>
      <c r="Y70" s="177"/>
      <c r="Z70" s="177"/>
      <c r="AA70" s="177"/>
      <c r="AB70" s="183">
        <v>29.9</v>
      </c>
      <c r="AC70" s="173" t="s">
        <v>744</v>
      </c>
      <c r="AD70" s="177"/>
      <c r="AE70" s="177">
        <v>2.1</v>
      </c>
      <c r="AF70" s="173" t="s">
        <v>744</v>
      </c>
      <c r="AG70" s="183"/>
      <c r="AH70" s="183">
        <v>9.1999999999999993</v>
      </c>
      <c r="AI70" s="183" t="s">
        <v>247</v>
      </c>
      <c r="AJ70" s="207">
        <v>3.4984000000000002</v>
      </c>
      <c r="AK70" s="176">
        <v>8</v>
      </c>
      <c r="AL70" s="176"/>
      <c r="AM70" s="182">
        <f>SUM(L70:AH70)</f>
        <v>136.39999999999998</v>
      </c>
      <c r="AN70" s="185" t="s">
        <v>31</v>
      </c>
      <c r="AO70" s="183" t="s">
        <v>999</v>
      </c>
      <c r="AP70" s="183" t="s">
        <v>545</v>
      </c>
      <c r="AQ70" s="186">
        <f>AH70/AR70</f>
        <v>3.0666666666666664</v>
      </c>
      <c r="AR70" s="187">
        <v>3</v>
      </c>
    </row>
    <row r="71" spans="1:44">
      <c r="A71" s="176">
        <v>324</v>
      </c>
      <c r="B71" s="180"/>
      <c r="C71" s="176" t="s">
        <v>874</v>
      </c>
      <c r="D71" s="176" t="s">
        <v>96</v>
      </c>
      <c r="E71" s="176" t="s">
        <v>240</v>
      </c>
      <c r="F71" s="176" t="s">
        <v>279</v>
      </c>
      <c r="G71" s="176" t="s">
        <v>9</v>
      </c>
      <c r="H71" s="176" t="s">
        <v>31</v>
      </c>
      <c r="I71" s="176" t="s">
        <v>64</v>
      </c>
      <c r="J71" s="176" t="s">
        <v>54</v>
      </c>
      <c r="K71" s="176" t="s">
        <v>270</v>
      </c>
      <c r="L71" s="177"/>
      <c r="M71" s="177"/>
      <c r="N71" s="177"/>
      <c r="O71" s="177"/>
      <c r="P71" s="177"/>
      <c r="Q71" s="182">
        <v>22.2</v>
      </c>
      <c r="R71" s="182">
        <v>2.8</v>
      </c>
      <c r="S71" s="182">
        <v>-4.5999999999999996</v>
      </c>
      <c r="T71" s="182">
        <v>31.2</v>
      </c>
      <c r="U71" s="183" t="s">
        <v>93</v>
      </c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83"/>
      <c r="AG71" s="183"/>
      <c r="AH71" s="183">
        <v>164.8</v>
      </c>
      <c r="AI71" s="183" t="s">
        <v>247</v>
      </c>
      <c r="AJ71" s="207">
        <v>5.1765999999999996</v>
      </c>
      <c r="AK71" s="176">
        <v>8</v>
      </c>
      <c r="AL71" s="176"/>
      <c r="AM71" s="182">
        <f>SUM(L71:AH71)</f>
        <v>216.4</v>
      </c>
      <c r="AN71" s="185" t="s">
        <v>31</v>
      </c>
      <c r="AO71" s="183" t="s">
        <v>999</v>
      </c>
      <c r="AP71" s="183" t="s">
        <v>545</v>
      </c>
      <c r="AQ71" s="186">
        <f>AH71/AR71</f>
        <v>11.771428571428572</v>
      </c>
      <c r="AR71" s="187">
        <v>14</v>
      </c>
    </row>
    <row r="72" spans="1:44">
      <c r="A72" s="176">
        <v>325</v>
      </c>
      <c r="B72" s="180"/>
      <c r="C72" s="176" t="s">
        <v>877</v>
      </c>
      <c r="D72" s="176" t="s">
        <v>96</v>
      </c>
      <c r="E72" s="176" t="s">
        <v>129</v>
      </c>
      <c r="F72" s="176" t="s">
        <v>130</v>
      </c>
      <c r="G72" s="176" t="s">
        <v>9</v>
      </c>
      <c r="H72" s="176" t="s">
        <v>31</v>
      </c>
      <c r="I72" s="176" t="s">
        <v>64</v>
      </c>
      <c r="J72" s="176" t="s">
        <v>763</v>
      </c>
      <c r="K72" s="176" t="s">
        <v>270</v>
      </c>
      <c r="L72" s="177"/>
      <c r="M72" s="177"/>
      <c r="N72" s="177"/>
      <c r="O72" s="177"/>
      <c r="P72" s="177"/>
      <c r="Q72" s="182">
        <v>16.100000000000001</v>
      </c>
      <c r="R72" s="182">
        <v>0.3</v>
      </c>
      <c r="S72" s="182">
        <v>-9.6999999999999993</v>
      </c>
      <c r="T72" s="182">
        <v>6.9</v>
      </c>
      <c r="U72" s="183" t="s">
        <v>93</v>
      </c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83"/>
      <c r="AG72" s="183"/>
      <c r="AH72" s="183">
        <v>-1.6</v>
      </c>
      <c r="AI72" s="183" t="s">
        <v>247</v>
      </c>
      <c r="AJ72" s="207">
        <v>4.8598999999999997</v>
      </c>
      <c r="AK72" s="176">
        <v>8</v>
      </c>
      <c r="AL72" s="176"/>
      <c r="AM72" s="182">
        <f>SUM(L72:AH72)</f>
        <v>12.000000000000004</v>
      </c>
      <c r="AN72" s="185" t="s">
        <v>31</v>
      </c>
      <c r="AO72" s="183" t="s">
        <v>999</v>
      </c>
      <c r="AP72" s="183" t="s">
        <v>545</v>
      </c>
      <c r="AQ72" s="186">
        <f>AH72/AR72</f>
        <v>-0.1142857142857143</v>
      </c>
      <c r="AR72" s="187">
        <v>14</v>
      </c>
    </row>
    <row r="73" spans="1:44">
      <c r="A73" s="176">
        <v>326</v>
      </c>
      <c r="B73" s="180"/>
      <c r="C73" s="176" t="s">
        <v>878</v>
      </c>
      <c r="D73" s="176" t="s">
        <v>96</v>
      </c>
      <c r="E73" s="176" t="s">
        <v>246</v>
      </c>
      <c r="F73" s="176" t="s">
        <v>131</v>
      </c>
      <c r="G73" s="176" t="s">
        <v>9</v>
      </c>
      <c r="H73" s="176" t="s">
        <v>31</v>
      </c>
      <c r="I73" s="176" t="s">
        <v>64</v>
      </c>
      <c r="J73" s="176" t="s">
        <v>54</v>
      </c>
      <c r="K73" s="176" t="s">
        <v>270</v>
      </c>
      <c r="L73" s="177"/>
      <c r="M73" s="177"/>
      <c r="N73" s="177"/>
      <c r="O73" s="177"/>
      <c r="P73" s="177"/>
      <c r="Q73" s="182">
        <v>24.7</v>
      </c>
      <c r="R73" s="182">
        <v>4.5999999999999996</v>
      </c>
      <c r="S73" s="182">
        <v>1.8</v>
      </c>
      <c r="T73" s="182">
        <v>11.7</v>
      </c>
      <c r="U73" s="183" t="s">
        <v>93</v>
      </c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83"/>
      <c r="AG73" s="183"/>
      <c r="AH73" s="183">
        <v>30.1</v>
      </c>
      <c r="AI73" s="183" t="s">
        <v>247</v>
      </c>
      <c r="AJ73" s="207">
        <v>4.2838000000000003</v>
      </c>
      <c r="AK73" s="176">
        <v>8</v>
      </c>
      <c r="AL73" s="176"/>
      <c r="AM73" s="182">
        <f>SUM(L73:AH73)</f>
        <v>72.900000000000006</v>
      </c>
      <c r="AN73" s="185" t="s">
        <v>31</v>
      </c>
      <c r="AO73" s="183" t="s">
        <v>999</v>
      </c>
      <c r="AP73" s="183" t="s">
        <v>545</v>
      </c>
      <c r="AQ73" s="186">
        <f>AH73/AR73</f>
        <v>2.15</v>
      </c>
      <c r="AR73" s="187">
        <v>14</v>
      </c>
    </row>
    <row r="74" spans="1:44">
      <c r="A74" s="176">
        <v>327</v>
      </c>
      <c r="B74" s="180"/>
      <c r="C74" s="176" t="s">
        <v>880</v>
      </c>
      <c r="D74" s="176" t="s">
        <v>96</v>
      </c>
      <c r="E74" s="176" t="s">
        <v>1052</v>
      </c>
      <c r="F74" s="176" t="s">
        <v>882</v>
      </c>
      <c r="G74" s="176" t="s">
        <v>9</v>
      </c>
      <c r="H74" s="176" t="s">
        <v>31</v>
      </c>
      <c r="I74" s="176" t="s">
        <v>64</v>
      </c>
      <c r="J74" s="176" t="s">
        <v>54</v>
      </c>
      <c r="K74" s="176" t="s">
        <v>270</v>
      </c>
      <c r="L74" s="177"/>
      <c r="M74" s="177"/>
      <c r="N74" s="177"/>
      <c r="O74" s="177"/>
      <c r="P74" s="177"/>
      <c r="Q74" s="182">
        <v>20.2</v>
      </c>
      <c r="R74" s="182">
        <v>3.1</v>
      </c>
      <c r="S74" s="182">
        <v>-2</v>
      </c>
      <c r="T74" s="182">
        <v>9</v>
      </c>
      <c r="U74" s="182">
        <v>-3.4</v>
      </c>
      <c r="V74" s="182">
        <v>20.8</v>
      </c>
      <c r="W74" s="177"/>
      <c r="X74" s="177"/>
      <c r="Y74" s="177"/>
      <c r="Z74" s="177"/>
      <c r="AA74" s="177"/>
      <c r="AB74" s="177"/>
      <c r="AC74" s="177"/>
      <c r="AD74" s="177"/>
      <c r="AE74" s="177"/>
      <c r="AF74" s="183"/>
      <c r="AG74" s="183"/>
      <c r="AH74" s="183"/>
      <c r="AI74" s="183" t="s">
        <v>247</v>
      </c>
      <c r="AJ74" s="207">
        <v>3.8841999999999999</v>
      </c>
      <c r="AK74" s="176">
        <v>59</v>
      </c>
      <c r="AL74" s="176" t="s">
        <v>20</v>
      </c>
      <c r="AM74" s="182"/>
      <c r="AN74" s="185"/>
      <c r="AO74" s="183"/>
      <c r="AP74" s="183"/>
      <c r="AQ74" s="186"/>
      <c r="AR74" s="187"/>
    </row>
    <row r="75" spans="1:44">
      <c r="A75" s="176">
        <v>401</v>
      </c>
      <c r="B75" s="180"/>
      <c r="C75" s="176" t="s">
        <v>883</v>
      </c>
      <c r="D75" s="176" t="s">
        <v>132</v>
      </c>
      <c r="E75" s="176" t="s">
        <v>133</v>
      </c>
      <c r="F75" s="176" t="s">
        <v>134</v>
      </c>
      <c r="G75" s="176" t="s">
        <v>9</v>
      </c>
      <c r="H75" s="176" t="s">
        <v>10</v>
      </c>
      <c r="I75" s="176" t="s">
        <v>743</v>
      </c>
      <c r="J75" s="176" t="s">
        <v>284</v>
      </c>
      <c r="K75" s="176" t="s">
        <v>263</v>
      </c>
      <c r="L75" s="177"/>
      <c r="M75" s="177"/>
      <c r="N75" s="182">
        <v>-0.9</v>
      </c>
      <c r="O75" s="182">
        <v>-2</v>
      </c>
      <c r="P75" s="182">
        <v>14.6</v>
      </c>
      <c r="Q75" s="182">
        <v>5.9</v>
      </c>
      <c r="R75" s="182">
        <v>1.1000000000000001</v>
      </c>
      <c r="S75" s="182">
        <v>-1.6</v>
      </c>
      <c r="T75" s="182">
        <v>2.8</v>
      </c>
      <c r="U75" s="182">
        <v>1.7</v>
      </c>
      <c r="V75" s="182">
        <v>2</v>
      </c>
      <c r="W75" s="183" t="s">
        <v>754</v>
      </c>
      <c r="X75" s="183">
        <v>11.6</v>
      </c>
      <c r="Y75" s="185" t="s">
        <v>756</v>
      </c>
      <c r="Z75" s="177"/>
      <c r="AA75" s="177"/>
      <c r="AB75" s="183">
        <v>4</v>
      </c>
      <c r="AC75" s="173" t="s">
        <v>744</v>
      </c>
      <c r="AD75" s="177"/>
      <c r="AE75" s="177">
        <v>4.3</v>
      </c>
      <c r="AF75" s="173" t="s">
        <v>744</v>
      </c>
      <c r="AG75" s="183"/>
      <c r="AH75" s="183">
        <v>3.7</v>
      </c>
      <c r="AI75" s="183" t="s">
        <v>247</v>
      </c>
      <c r="AJ75" s="207">
        <v>14.696099999999999</v>
      </c>
      <c r="AK75" s="176">
        <v>8</v>
      </c>
      <c r="AL75" s="176"/>
      <c r="AM75" s="182">
        <f t="shared" ref="AM75:AM82" si="4">SUM(L75:AH75)</f>
        <v>47.2</v>
      </c>
      <c r="AN75" s="185" t="s">
        <v>10</v>
      </c>
      <c r="AO75" s="183" t="s">
        <v>999</v>
      </c>
      <c r="AP75" s="183" t="s">
        <v>545</v>
      </c>
      <c r="AQ75" s="186">
        <f t="shared" ref="AQ75:AQ82" si="5">AH75/AR75</f>
        <v>1.2333333333333334</v>
      </c>
      <c r="AR75" s="187">
        <v>3</v>
      </c>
    </row>
    <row r="76" spans="1:44">
      <c r="A76" s="176">
        <v>402</v>
      </c>
      <c r="B76" s="180"/>
      <c r="C76" s="176" t="s">
        <v>884</v>
      </c>
      <c r="D76" s="176" t="s">
        <v>132</v>
      </c>
      <c r="E76" s="176" t="s">
        <v>135</v>
      </c>
      <c r="F76" s="176" t="s">
        <v>136</v>
      </c>
      <c r="G76" s="176" t="s">
        <v>12</v>
      </c>
      <c r="H76" s="176" t="s">
        <v>73</v>
      </c>
      <c r="I76" s="176" t="s">
        <v>743</v>
      </c>
      <c r="J76" s="176" t="s">
        <v>1053</v>
      </c>
      <c r="K76" s="176" t="s">
        <v>263</v>
      </c>
      <c r="L76" s="177"/>
      <c r="M76" s="177"/>
      <c r="N76" s="181"/>
      <c r="O76" s="183" t="s">
        <v>754</v>
      </c>
      <c r="P76" s="183">
        <v>12.3</v>
      </c>
      <c r="Q76" s="182">
        <v>4.7</v>
      </c>
      <c r="R76" s="182">
        <v>2.2000000000000002</v>
      </c>
      <c r="S76" s="182">
        <v>-1.6</v>
      </c>
      <c r="T76" s="182">
        <v>4.0999999999999996</v>
      </c>
      <c r="U76" s="182">
        <v>0.7</v>
      </c>
      <c r="V76" s="182">
        <v>-0.3</v>
      </c>
      <c r="W76" s="183" t="s">
        <v>754</v>
      </c>
      <c r="X76" s="183">
        <v>8.3000000000000007</v>
      </c>
      <c r="Y76" s="185" t="s">
        <v>756</v>
      </c>
      <c r="Z76" s="177"/>
      <c r="AA76" s="177"/>
      <c r="AB76" s="183">
        <v>6.4</v>
      </c>
      <c r="AC76" s="173" t="s">
        <v>744</v>
      </c>
      <c r="AD76" s="177"/>
      <c r="AE76" s="177">
        <v>6.2</v>
      </c>
      <c r="AF76" s="173" t="s">
        <v>744</v>
      </c>
      <c r="AG76" s="183"/>
      <c r="AH76" s="183">
        <v>5.3</v>
      </c>
      <c r="AI76" s="183" t="s">
        <v>247</v>
      </c>
      <c r="AJ76" s="207">
        <v>20.836099999999998</v>
      </c>
      <c r="AK76" s="176">
        <v>8</v>
      </c>
      <c r="AL76" s="176"/>
      <c r="AM76" s="182">
        <f t="shared" si="4"/>
        <v>48.3</v>
      </c>
      <c r="AN76" s="185" t="s">
        <v>73</v>
      </c>
      <c r="AO76" s="183" t="s">
        <v>999</v>
      </c>
      <c r="AP76" s="183" t="s">
        <v>545</v>
      </c>
      <c r="AQ76" s="186">
        <f t="shared" si="5"/>
        <v>1.7666666666666666</v>
      </c>
      <c r="AR76" s="187">
        <v>3</v>
      </c>
    </row>
    <row r="77" spans="1:44">
      <c r="A77" s="176">
        <v>403</v>
      </c>
      <c r="B77" s="180"/>
      <c r="C77" s="176" t="s">
        <v>885</v>
      </c>
      <c r="D77" s="176" t="s">
        <v>132</v>
      </c>
      <c r="E77" s="176" t="s">
        <v>137</v>
      </c>
      <c r="F77" s="176" t="s">
        <v>138</v>
      </c>
      <c r="G77" s="176" t="s">
        <v>9</v>
      </c>
      <c r="H77" s="176" t="s">
        <v>10</v>
      </c>
      <c r="I77" s="176" t="s">
        <v>743</v>
      </c>
      <c r="J77" s="176" t="s">
        <v>284</v>
      </c>
      <c r="K77" s="176" t="s">
        <v>263</v>
      </c>
      <c r="L77" s="177"/>
      <c r="M77" s="181"/>
      <c r="N77" s="183" t="s">
        <v>744</v>
      </c>
      <c r="O77" s="177"/>
      <c r="P77" s="183">
        <v>5.6</v>
      </c>
      <c r="Q77" s="182">
        <v>6.8</v>
      </c>
      <c r="R77" s="182">
        <v>0.4</v>
      </c>
      <c r="S77" s="183" t="s">
        <v>754</v>
      </c>
      <c r="T77" s="189">
        <v>2.4</v>
      </c>
      <c r="U77" s="183" t="s">
        <v>756</v>
      </c>
      <c r="V77" s="177"/>
      <c r="W77" s="177"/>
      <c r="X77" s="183">
        <v>9.1</v>
      </c>
      <c r="Y77" s="185" t="s">
        <v>756</v>
      </c>
      <c r="Z77" s="177"/>
      <c r="AA77" s="177"/>
      <c r="AB77" s="183">
        <v>10.5</v>
      </c>
      <c r="AC77" s="173" t="s">
        <v>744</v>
      </c>
      <c r="AD77" s="177"/>
      <c r="AE77" s="177">
        <v>3.4</v>
      </c>
      <c r="AF77" s="173" t="s">
        <v>744</v>
      </c>
      <c r="AG77" s="183"/>
      <c r="AH77" s="183">
        <v>3.2</v>
      </c>
      <c r="AI77" s="183" t="s">
        <v>247</v>
      </c>
      <c r="AJ77" s="207">
        <v>23.1707</v>
      </c>
      <c r="AK77" s="176">
        <v>8</v>
      </c>
      <c r="AL77" s="176"/>
      <c r="AM77" s="182">
        <f t="shared" si="4"/>
        <v>41.4</v>
      </c>
      <c r="AN77" s="185" t="s">
        <v>10</v>
      </c>
      <c r="AO77" s="183" t="s">
        <v>999</v>
      </c>
      <c r="AP77" s="183" t="s">
        <v>545</v>
      </c>
      <c r="AQ77" s="186">
        <f t="shared" si="5"/>
        <v>1.0666666666666667</v>
      </c>
      <c r="AR77" s="187">
        <v>3</v>
      </c>
    </row>
    <row r="78" spans="1:44">
      <c r="A78" s="176">
        <v>404</v>
      </c>
      <c r="B78" s="180"/>
      <c r="C78" s="176" t="s">
        <v>886</v>
      </c>
      <c r="D78" s="176" t="s">
        <v>132</v>
      </c>
      <c r="E78" s="176" t="s">
        <v>139</v>
      </c>
      <c r="F78" s="176" t="s">
        <v>140</v>
      </c>
      <c r="G78" s="176" t="s">
        <v>9</v>
      </c>
      <c r="H78" s="176" t="s">
        <v>10</v>
      </c>
      <c r="I78" s="176" t="s">
        <v>743</v>
      </c>
      <c r="J78" s="176" t="s">
        <v>141</v>
      </c>
      <c r="K78" s="176" t="s">
        <v>1023</v>
      </c>
      <c r="L78" s="177"/>
      <c r="M78" s="177"/>
      <c r="N78" s="182">
        <v>-5</v>
      </c>
      <c r="O78" s="182">
        <v>-5.2</v>
      </c>
      <c r="P78" s="182">
        <v>14.7</v>
      </c>
      <c r="Q78" s="182">
        <v>3.4</v>
      </c>
      <c r="R78" s="182">
        <v>3</v>
      </c>
      <c r="S78" s="182">
        <v>-2.8</v>
      </c>
      <c r="T78" s="182">
        <v>0.8</v>
      </c>
      <c r="U78" s="182">
        <v>2.2000000000000002</v>
      </c>
      <c r="V78" s="182">
        <v>-3.5</v>
      </c>
      <c r="W78" s="183" t="s">
        <v>775</v>
      </c>
      <c r="X78" s="177"/>
      <c r="Y78" s="177"/>
      <c r="Z78" s="177"/>
      <c r="AA78" s="177"/>
      <c r="AB78" s="183">
        <v>17.8</v>
      </c>
      <c r="AC78" s="173" t="s">
        <v>744</v>
      </c>
      <c r="AD78" s="177"/>
      <c r="AE78" s="177">
        <v>1.1000000000000001</v>
      </c>
      <c r="AF78" s="173" t="s">
        <v>744</v>
      </c>
      <c r="AG78" s="183"/>
      <c r="AH78" s="183">
        <v>1.8</v>
      </c>
      <c r="AI78" s="183" t="s">
        <v>247</v>
      </c>
      <c r="AJ78" s="207">
        <v>23.969799999999999</v>
      </c>
      <c r="AK78" s="176">
        <v>8</v>
      </c>
      <c r="AL78" s="176"/>
      <c r="AM78" s="182">
        <f t="shared" si="4"/>
        <v>28.300000000000004</v>
      </c>
      <c r="AN78" s="185" t="s">
        <v>10</v>
      </c>
      <c r="AO78" s="183" t="s">
        <v>999</v>
      </c>
      <c r="AP78" s="183" t="s">
        <v>545</v>
      </c>
      <c r="AQ78" s="186">
        <f t="shared" si="5"/>
        <v>0.6</v>
      </c>
      <c r="AR78" s="187">
        <v>3</v>
      </c>
    </row>
    <row r="79" spans="1:44">
      <c r="A79" s="176">
        <v>405</v>
      </c>
      <c r="B79" s="180"/>
      <c r="C79" s="176" t="s">
        <v>887</v>
      </c>
      <c r="D79" s="176" t="s">
        <v>132</v>
      </c>
      <c r="E79" s="176" t="s">
        <v>142</v>
      </c>
      <c r="F79" s="176" t="s">
        <v>143</v>
      </c>
      <c r="G79" s="176" t="s">
        <v>12</v>
      </c>
      <c r="H79" s="176" t="s">
        <v>10</v>
      </c>
      <c r="I79" s="176" t="s">
        <v>743</v>
      </c>
      <c r="J79" s="176" t="s">
        <v>141</v>
      </c>
      <c r="K79" s="176" t="s">
        <v>1023</v>
      </c>
      <c r="L79" s="177"/>
      <c r="M79" s="177"/>
      <c r="N79" s="182">
        <v>-4.9000000000000004</v>
      </c>
      <c r="O79" s="182">
        <v>-6.2</v>
      </c>
      <c r="P79" s="182">
        <v>14.8</v>
      </c>
      <c r="Q79" s="182">
        <v>3.8</v>
      </c>
      <c r="R79" s="182">
        <v>3.7</v>
      </c>
      <c r="S79" s="183" t="s">
        <v>754</v>
      </c>
      <c r="T79" s="183">
        <v>-2.2000000000000002</v>
      </c>
      <c r="U79" s="183" t="s">
        <v>754</v>
      </c>
      <c r="V79" s="183">
        <v>-2.1</v>
      </c>
      <c r="W79" s="185" t="s">
        <v>775</v>
      </c>
      <c r="X79" s="177"/>
      <c r="Y79" s="177"/>
      <c r="Z79" s="177"/>
      <c r="AA79" s="177"/>
      <c r="AB79" s="183">
        <v>19.100000000000001</v>
      </c>
      <c r="AC79" s="173" t="s">
        <v>744</v>
      </c>
      <c r="AD79" s="177"/>
      <c r="AE79" s="177">
        <v>-1.5</v>
      </c>
      <c r="AF79" s="173" t="s">
        <v>744</v>
      </c>
      <c r="AG79" s="183"/>
      <c r="AH79" s="183">
        <v>2.1</v>
      </c>
      <c r="AI79" s="183" t="s">
        <v>247</v>
      </c>
      <c r="AJ79" s="207">
        <v>23.984300000000001</v>
      </c>
      <c r="AK79" s="176">
        <v>8</v>
      </c>
      <c r="AL79" s="176"/>
      <c r="AM79" s="182">
        <f t="shared" si="4"/>
        <v>26.6</v>
      </c>
      <c r="AN79" s="185" t="s">
        <v>10</v>
      </c>
      <c r="AO79" s="183" t="s">
        <v>999</v>
      </c>
      <c r="AP79" s="183" t="s">
        <v>545</v>
      </c>
      <c r="AQ79" s="186">
        <f t="shared" si="5"/>
        <v>0.70000000000000007</v>
      </c>
      <c r="AR79" s="187">
        <v>3</v>
      </c>
    </row>
    <row r="80" spans="1:44">
      <c r="A80" s="176">
        <v>406</v>
      </c>
      <c r="B80" s="180"/>
      <c r="C80" s="176" t="s">
        <v>888</v>
      </c>
      <c r="D80" s="176" t="s">
        <v>132</v>
      </c>
      <c r="E80" s="176" t="s">
        <v>1054</v>
      </c>
      <c r="F80" s="176" t="s">
        <v>144</v>
      </c>
      <c r="G80" s="176" t="s">
        <v>12</v>
      </c>
      <c r="H80" s="176" t="s">
        <v>10</v>
      </c>
      <c r="I80" s="176" t="s">
        <v>743</v>
      </c>
      <c r="J80" s="176" t="s">
        <v>141</v>
      </c>
      <c r="K80" s="176" t="s">
        <v>1023</v>
      </c>
      <c r="L80" s="177"/>
      <c r="M80" s="177"/>
      <c r="N80" s="182">
        <v>-2.4</v>
      </c>
      <c r="O80" s="182">
        <v>-7.7</v>
      </c>
      <c r="P80" s="182">
        <v>14.2</v>
      </c>
      <c r="Q80" s="182">
        <v>3.8</v>
      </c>
      <c r="R80" s="182">
        <v>6.9</v>
      </c>
      <c r="S80" s="183" t="s">
        <v>754</v>
      </c>
      <c r="T80" s="183">
        <v>-2.5</v>
      </c>
      <c r="U80" s="183" t="s">
        <v>754</v>
      </c>
      <c r="V80" s="183">
        <v>-1.9</v>
      </c>
      <c r="W80" s="185" t="s">
        <v>775</v>
      </c>
      <c r="X80" s="177"/>
      <c r="Y80" s="177"/>
      <c r="Z80" s="177"/>
      <c r="AA80" s="177"/>
      <c r="AB80" s="183">
        <v>23.3</v>
      </c>
      <c r="AC80" s="173" t="s">
        <v>744</v>
      </c>
      <c r="AD80" s="177"/>
      <c r="AE80" s="177">
        <v>1.2</v>
      </c>
      <c r="AF80" s="173" t="s">
        <v>744</v>
      </c>
      <c r="AG80" s="183"/>
      <c r="AH80" s="183">
        <v>2.6</v>
      </c>
      <c r="AI80" s="183" t="s">
        <v>247</v>
      </c>
      <c r="AJ80" s="207">
        <v>22.1907</v>
      </c>
      <c r="AK80" s="176">
        <v>8</v>
      </c>
      <c r="AL80" s="176"/>
      <c r="AM80" s="182">
        <f t="shared" si="4"/>
        <v>37.500000000000007</v>
      </c>
      <c r="AN80" s="185" t="s">
        <v>10</v>
      </c>
      <c r="AO80" s="183" t="s">
        <v>999</v>
      </c>
      <c r="AP80" s="183" t="s">
        <v>545</v>
      </c>
      <c r="AQ80" s="186">
        <f t="shared" si="5"/>
        <v>0.8666666666666667</v>
      </c>
      <c r="AR80" s="187">
        <v>3</v>
      </c>
    </row>
    <row r="81" spans="1:44">
      <c r="A81" s="176">
        <v>407</v>
      </c>
      <c r="B81" s="180"/>
      <c r="C81" s="176" t="s">
        <v>890</v>
      </c>
      <c r="D81" s="176" t="s">
        <v>132</v>
      </c>
      <c r="E81" s="176" t="s">
        <v>145</v>
      </c>
      <c r="F81" s="176" t="s">
        <v>146</v>
      </c>
      <c r="G81" s="176" t="s">
        <v>9</v>
      </c>
      <c r="H81" s="176" t="s">
        <v>10</v>
      </c>
      <c r="I81" s="176" t="s">
        <v>743</v>
      </c>
      <c r="J81" s="176" t="s">
        <v>141</v>
      </c>
      <c r="K81" s="176" t="s">
        <v>1023</v>
      </c>
      <c r="L81" s="177"/>
      <c r="M81" s="177"/>
      <c r="N81" s="182">
        <v>-3.2</v>
      </c>
      <c r="O81" s="182">
        <v>-6.4</v>
      </c>
      <c r="P81" s="182">
        <v>15.6</v>
      </c>
      <c r="Q81" s="182">
        <v>2</v>
      </c>
      <c r="R81" s="182">
        <v>5.3</v>
      </c>
      <c r="S81" s="183" t="s">
        <v>754</v>
      </c>
      <c r="T81" s="183">
        <v>-1.9</v>
      </c>
      <c r="U81" s="183" t="s">
        <v>754</v>
      </c>
      <c r="V81" s="183">
        <v>0</v>
      </c>
      <c r="W81" s="185" t="s">
        <v>775</v>
      </c>
      <c r="X81" s="177"/>
      <c r="Y81" s="177"/>
      <c r="Z81" s="177"/>
      <c r="AA81" s="177"/>
      <c r="AB81" s="183">
        <v>19.100000000000001</v>
      </c>
      <c r="AC81" s="173" t="s">
        <v>744</v>
      </c>
      <c r="AD81" s="177"/>
      <c r="AE81" s="177">
        <v>0.2</v>
      </c>
      <c r="AF81" s="173" t="s">
        <v>744</v>
      </c>
      <c r="AG81" s="183"/>
      <c r="AH81" s="183">
        <v>3.4</v>
      </c>
      <c r="AI81" s="183" t="s">
        <v>247</v>
      </c>
      <c r="AJ81" s="207">
        <v>18.941600000000001</v>
      </c>
      <c r="AK81" s="176">
        <v>8</v>
      </c>
      <c r="AL81" s="176"/>
      <c r="AM81" s="182">
        <f t="shared" si="4"/>
        <v>34.1</v>
      </c>
      <c r="AN81" s="185" t="s">
        <v>10</v>
      </c>
      <c r="AO81" s="183" t="s">
        <v>999</v>
      </c>
      <c r="AP81" s="183" t="s">
        <v>545</v>
      </c>
      <c r="AQ81" s="186">
        <f t="shared" si="5"/>
        <v>1.1333333333333333</v>
      </c>
      <c r="AR81" s="187">
        <v>3</v>
      </c>
    </row>
    <row r="82" spans="1:44">
      <c r="A82" s="176">
        <v>408</v>
      </c>
      <c r="B82" s="180"/>
      <c r="C82" s="176" t="s">
        <v>891</v>
      </c>
      <c r="D82" s="176" t="s">
        <v>132</v>
      </c>
      <c r="E82" s="176" t="s">
        <v>295</v>
      </c>
      <c r="F82" s="176" t="s">
        <v>147</v>
      </c>
      <c r="G82" s="176" t="s">
        <v>9</v>
      </c>
      <c r="H82" s="176" t="s">
        <v>10</v>
      </c>
      <c r="I82" s="176" t="s">
        <v>743</v>
      </c>
      <c r="J82" s="176" t="s">
        <v>141</v>
      </c>
      <c r="K82" s="176" t="s">
        <v>1023</v>
      </c>
      <c r="L82" s="177"/>
      <c r="M82" s="181"/>
      <c r="N82" s="183" t="s">
        <v>754</v>
      </c>
      <c r="O82" s="183">
        <v>-8.6999999999999993</v>
      </c>
      <c r="P82" s="182">
        <v>14.3</v>
      </c>
      <c r="Q82" s="182">
        <v>4.4000000000000004</v>
      </c>
      <c r="R82" s="182">
        <v>7.1</v>
      </c>
      <c r="S82" s="183" t="s">
        <v>754</v>
      </c>
      <c r="T82" s="183">
        <v>-2.2999999999999998</v>
      </c>
      <c r="U82" s="183" t="s">
        <v>754</v>
      </c>
      <c r="V82" s="183">
        <v>-2.5</v>
      </c>
      <c r="W82" s="185" t="s">
        <v>775</v>
      </c>
      <c r="X82" s="177"/>
      <c r="Y82" s="177"/>
      <c r="Z82" s="177"/>
      <c r="AA82" s="177"/>
      <c r="AB82" s="183">
        <v>21</v>
      </c>
      <c r="AC82" s="173" t="s">
        <v>744</v>
      </c>
      <c r="AD82" s="177"/>
      <c r="AE82" s="177">
        <v>0.6</v>
      </c>
      <c r="AF82" s="173" t="s">
        <v>744</v>
      </c>
      <c r="AG82" s="183"/>
      <c r="AH82" s="183">
        <v>2</v>
      </c>
      <c r="AI82" s="183" t="s">
        <v>247</v>
      </c>
      <c r="AJ82" s="207">
        <v>18.411899999999999</v>
      </c>
      <c r="AK82" s="176">
        <v>8</v>
      </c>
      <c r="AL82" s="176"/>
      <c r="AM82" s="182">
        <f t="shared" si="4"/>
        <v>35.9</v>
      </c>
      <c r="AN82" s="185" t="s">
        <v>10</v>
      </c>
      <c r="AO82" s="183" t="s">
        <v>999</v>
      </c>
      <c r="AP82" s="183" t="s">
        <v>545</v>
      </c>
      <c r="AQ82" s="186">
        <f t="shared" si="5"/>
        <v>0.66666666666666663</v>
      </c>
      <c r="AR82" s="187">
        <v>3</v>
      </c>
    </row>
    <row r="83" spans="1:44">
      <c r="A83" s="176">
        <v>410</v>
      </c>
      <c r="B83" s="180"/>
      <c r="C83" s="176" t="s">
        <v>893</v>
      </c>
      <c r="D83" s="176" t="s">
        <v>132</v>
      </c>
      <c r="E83" s="176" t="s">
        <v>1055</v>
      </c>
      <c r="F83" s="176" t="s">
        <v>895</v>
      </c>
      <c r="G83" s="176" t="s">
        <v>9</v>
      </c>
      <c r="H83" s="176" t="s">
        <v>31</v>
      </c>
      <c r="I83" s="176" t="s">
        <v>64</v>
      </c>
      <c r="J83" s="176" t="s">
        <v>54</v>
      </c>
      <c r="K83" s="176" t="s">
        <v>270</v>
      </c>
      <c r="L83" s="177"/>
      <c r="M83" s="177"/>
      <c r="N83" s="177"/>
      <c r="O83" s="177"/>
      <c r="P83" s="176"/>
      <c r="Q83" s="182">
        <v>13.3</v>
      </c>
      <c r="R83" s="182">
        <v>7.6</v>
      </c>
      <c r="S83" s="182">
        <v>-5.5</v>
      </c>
      <c r="T83" s="182" t="s">
        <v>770</v>
      </c>
      <c r="U83" s="177"/>
      <c r="V83" s="183" t="s">
        <v>770</v>
      </c>
      <c r="W83" s="173"/>
      <c r="X83" s="177"/>
      <c r="Y83" s="177"/>
      <c r="Z83" s="177"/>
      <c r="AA83" s="177"/>
      <c r="AB83" s="177"/>
      <c r="AC83" s="177"/>
      <c r="AD83" s="177"/>
      <c r="AE83" s="177"/>
      <c r="AF83" s="183"/>
      <c r="AG83" s="183"/>
      <c r="AH83" s="183"/>
      <c r="AI83" s="183" t="s">
        <v>247</v>
      </c>
      <c r="AJ83" s="207">
        <v>3.6211000000000002</v>
      </c>
      <c r="AK83" s="176">
        <v>59</v>
      </c>
      <c r="AL83" s="176" t="s">
        <v>1027</v>
      </c>
      <c r="AM83" s="182"/>
      <c r="AN83" s="185"/>
      <c r="AO83" s="183"/>
      <c r="AP83" s="183"/>
      <c r="AQ83" s="186"/>
      <c r="AR83" s="187"/>
    </row>
    <row r="84" spans="1:44">
      <c r="A84" s="176">
        <v>411</v>
      </c>
      <c r="B84" s="180"/>
      <c r="C84" s="176" t="s">
        <v>897</v>
      </c>
      <c r="D84" s="176" t="s">
        <v>132</v>
      </c>
      <c r="E84" s="176" t="s">
        <v>296</v>
      </c>
      <c r="F84" s="176" t="s">
        <v>148</v>
      </c>
      <c r="G84" s="176" t="s">
        <v>9</v>
      </c>
      <c r="H84" s="176" t="s">
        <v>10</v>
      </c>
      <c r="I84" s="176" t="s">
        <v>64</v>
      </c>
      <c r="J84" s="176" t="s">
        <v>54</v>
      </c>
      <c r="K84" s="176" t="s">
        <v>270</v>
      </c>
      <c r="L84" s="177"/>
      <c r="M84" s="181"/>
      <c r="N84" s="183" t="s">
        <v>754</v>
      </c>
      <c r="O84" s="183">
        <v>218.7</v>
      </c>
      <c r="P84" s="182">
        <v>101</v>
      </c>
      <c r="Q84" s="182">
        <v>38.4</v>
      </c>
      <c r="R84" s="182">
        <v>11.1</v>
      </c>
      <c r="S84" s="182">
        <v>10.8</v>
      </c>
      <c r="T84" s="182">
        <v>47.7</v>
      </c>
      <c r="U84" s="182">
        <v>22.1</v>
      </c>
      <c r="V84" s="182" t="s">
        <v>47</v>
      </c>
      <c r="W84" s="183" t="s">
        <v>95</v>
      </c>
      <c r="X84" s="177"/>
      <c r="Y84" s="177"/>
      <c r="Z84" s="177"/>
      <c r="AA84" s="177"/>
      <c r="AB84" s="177"/>
      <c r="AC84" s="177"/>
      <c r="AD84" s="177"/>
      <c r="AE84" s="177"/>
      <c r="AF84" s="183"/>
      <c r="AG84" s="183"/>
      <c r="AH84" s="183">
        <v>223</v>
      </c>
      <c r="AI84" s="183" t="s">
        <v>247</v>
      </c>
      <c r="AJ84" s="207">
        <v>3.609</v>
      </c>
      <c r="AK84" s="176">
        <v>8</v>
      </c>
      <c r="AL84" s="176" t="s">
        <v>899</v>
      </c>
      <c r="AM84" s="182">
        <f>SUM(V84:AH84)</f>
        <v>223</v>
      </c>
      <c r="AN84" s="185" t="s">
        <v>614</v>
      </c>
      <c r="AO84" s="183" t="s">
        <v>999</v>
      </c>
      <c r="AP84" s="183" t="s">
        <v>545</v>
      </c>
      <c r="AQ84" s="186">
        <f>AH84/AR84</f>
        <v>18.583333333333332</v>
      </c>
      <c r="AR84" s="187">
        <v>12</v>
      </c>
    </row>
    <row r="85" spans="1:44">
      <c r="A85" s="176">
        <v>412</v>
      </c>
      <c r="B85" s="180"/>
      <c r="C85" s="176" t="s">
        <v>900</v>
      </c>
      <c r="D85" s="176" t="s">
        <v>132</v>
      </c>
      <c r="E85" s="176" t="s">
        <v>1056</v>
      </c>
      <c r="F85" s="176" t="s">
        <v>902</v>
      </c>
      <c r="G85" s="176" t="s">
        <v>9</v>
      </c>
      <c r="H85" s="176" t="s">
        <v>10</v>
      </c>
      <c r="I85" s="176" t="s">
        <v>64</v>
      </c>
      <c r="J85" s="176" t="s">
        <v>54</v>
      </c>
      <c r="K85" s="176" t="s">
        <v>270</v>
      </c>
      <c r="L85" s="177"/>
      <c r="M85" s="181"/>
      <c r="N85" s="183" t="s">
        <v>754</v>
      </c>
      <c r="O85" s="183">
        <v>53.9</v>
      </c>
      <c r="P85" s="182">
        <v>41.4</v>
      </c>
      <c r="Q85" s="182">
        <v>22.4</v>
      </c>
      <c r="R85" s="182">
        <v>10.199999999999999</v>
      </c>
      <c r="S85" s="182">
        <v>7.1</v>
      </c>
      <c r="T85" s="182" t="s">
        <v>770</v>
      </c>
      <c r="U85" s="182" t="s">
        <v>770</v>
      </c>
      <c r="V85" s="182">
        <v>54.5</v>
      </c>
      <c r="W85" s="183" t="s">
        <v>775</v>
      </c>
      <c r="X85" s="177"/>
      <c r="Y85" s="177"/>
      <c r="Z85" s="177"/>
      <c r="AA85" s="177"/>
      <c r="AB85" s="183">
        <v>135.1</v>
      </c>
      <c r="AC85" s="173" t="s">
        <v>744</v>
      </c>
      <c r="AD85" s="177"/>
      <c r="AE85" s="177">
        <v>50.2</v>
      </c>
      <c r="AF85" s="185"/>
      <c r="AG85" s="183"/>
      <c r="AH85" s="183"/>
      <c r="AI85" s="183" t="s">
        <v>247</v>
      </c>
      <c r="AJ85" s="207">
        <v>4.8661000000000003</v>
      </c>
      <c r="AK85" s="176">
        <v>5</v>
      </c>
      <c r="AL85" s="176" t="s">
        <v>1030</v>
      </c>
      <c r="AM85" s="182">
        <f>SUM(L85:AH85)</f>
        <v>374.8</v>
      </c>
      <c r="AN85" s="185" t="s">
        <v>10</v>
      </c>
      <c r="AO85" s="183" t="s">
        <v>999</v>
      </c>
      <c r="AP85" s="183" t="s">
        <v>1031</v>
      </c>
      <c r="AQ85" s="186"/>
      <c r="AR85" s="187"/>
    </row>
    <row r="86" spans="1:44">
      <c r="A86" s="176">
        <v>413</v>
      </c>
      <c r="B86" s="180"/>
      <c r="C86" s="176" t="s">
        <v>904</v>
      </c>
      <c r="D86" s="176" t="s">
        <v>132</v>
      </c>
      <c r="E86" s="176" t="s">
        <v>239</v>
      </c>
      <c r="F86" s="176" t="s">
        <v>149</v>
      </c>
      <c r="G86" s="176" t="s">
        <v>9</v>
      </c>
      <c r="H86" s="176" t="s">
        <v>31</v>
      </c>
      <c r="I86" s="176" t="s">
        <v>64</v>
      </c>
      <c r="J86" s="176" t="s">
        <v>54</v>
      </c>
      <c r="K86" s="176" t="s">
        <v>270</v>
      </c>
      <c r="L86" s="177"/>
      <c r="M86" s="177"/>
      <c r="N86" s="177"/>
      <c r="O86" s="177"/>
      <c r="P86" s="177"/>
      <c r="Q86" s="182">
        <v>85.6</v>
      </c>
      <c r="R86" s="182">
        <v>20.8</v>
      </c>
      <c r="S86" s="182" t="s">
        <v>47</v>
      </c>
      <c r="T86" s="182">
        <v>36.9</v>
      </c>
      <c r="U86" s="182">
        <v>19.899999999999999</v>
      </c>
      <c r="V86" s="182">
        <v>21.6</v>
      </c>
      <c r="W86" s="183" t="s">
        <v>95</v>
      </c>
      <c r="X86" s="177"/>
      <c r="Y86" s="177"/>
      <c r="Z86" s="177"/>
      <c r="AA86" s="177"/>
      <c r="AB86" s="177"/>
      <c r="AC86" s="177"/>
      <c r="AD86" s="177"/>
      <c r="AE86" s="177"/>
      <c r="AF86" s="183"/>
      <c r="AG86" s="183"/>
      <c r="AH86" s="183">
        <v>369.5</v>
      </c>
      <c r="AI86" s="183" t="s">
        <v>247</v>
      </c>
      <c r="AJ86" s="207">
        <v>4.8287000000000004</v>
      </c>
      <c r="AK86" s="176">
        <v>8</v>
      </c>
      <c r="AL86" s="176" t="s">
        <v>906</v>
      </c>
      <c r="AM86" s="182">
        <f>SUM(T86:AH86)</f>
        <v>447.9</v>
      </c>
      <c r="AN86" s="185" t="s">
        <v>611</v>
      </c>
      <c r="AO86" s="183" t="s">
        <v>999</v>
      </c>
      <c r="AP86" s="183" t="s">
        <v>545</v>
      </c>
      <c r="AQ86" s="186">
        <f>AH86/AR86</f>
        <v>30.791666666666668</v>
      </c>
      <c r="AR86" s="187">
        <v>12</v>
      </c>
    </row>
    <row r="87" spans="1:44">
      <c r="A87" s="176">
        <v>414</v>
      </c>
      <c r="B87" s="180"/>
      <c r="C87" s="176" t="s">
        <v>907</v>
      </c>
      <c r="D87" s="176" t="s">
        <v>132</v>
      </c>
      <c r="E87" s="176" t="s">
        <v>238</v>
      </c>
      <c r="F87" s="176" t="s">
        <v>150</v>
      </c>
      <c r="G87" s="176" t="s">
        <v>9</v>
      </c>
      <c r="H87" s="176" t="s">
        <v>31</v>
      </c>
      <c r="I87" s="176" t="s">
        <v>64</v>
      </c>
      <c r="J87" s="176" t="s">
        <v>54</v>
      </c>
      <c r="K87" s="176" t="s">
        <v>270</v>
      </c>
      <c r="L87" s="177"/>
      <c r="M87" s="177"/>
      <c r="N87" s="177"/>
      <c r="O87" s="177"/>
      <c r="P87" s="177"/>
      <c r="Q87" s="182">
        <v>33.799999999999997</v>
      </c>
      <c r="R87" s="182">
        <v>32.1</v>
      </c>
      <c r="S87" s="182">
        <v>23.9</v>
      </c>
      <c r="T87" s="182">
        <v>40.4</v>
      </c>
      <c r="U87" s="182">
        <v>16.399999999999999</v>
      </c>
      <c r="V87" s="182">
        <v>21.4</v>
      </c>
      <c r="W87" s="183" t="s">
        <v>775</v>
      </c>
      <c r="X87" s="177"/>
      <c r="Y87" s="177"/>
      <c r="Z87" s="177"/>
      <c r="AA87" s="177"/>
      <c r="AB87" s="183">
        <v>128.4</v>
      </c>
      <c r="AC87" s="173" t="s">
        <v>744</v>
      </c>
      <c r="AD87" s="177"/>
      <c r="AE87" s="177" t="s">
        <v>770</v>
      </c>
      <c r="AF87" s="173" t="s">
        <v>744</v>
      </c>
      <c r="AG87" s="183"/>
      <c r="AH87" s="183" t="s">
        <v>770</v>
      </c>
      <c r="AI87" s="183" t="s">
        <v>247</v>
      </c>
      <c r="AJ87" s="207">
        <v>7.0076000000000001</v>
      </c>
      <c r="AK87" s="176">
        <v>8</v>
      </c>
      <c r="AL87" s="176" t="s">
        <v>1019</v>
      </c>
      <c r="AM87" s="182"/>
      <c r="AN87" s="185"/>
      <c r="AO87" s="183"/>
      <c r="AP87" s="183"/>
      <c r="AQ87" s="186"/>
      <c r="AR87" s="187"/>
    </row>
    <row r="88" spans="1:44">
      <c r="A88" s="176">
        <v>415</v>
      </c>
      <c r="B88" s="180"/>
      <c r="C88" s="176" t="s">
        <v>909</v>
      </c>
      <c r="D88" s="176" t="s">
        <v>132</v>
      </c>
      <c r="E88" s="176" t="s">
        <v>1057</v>
      </c>
      <c r="F88" s="176" t="s">
        <v>151</v>
      </c>
      <c r="G88" s="176" t="s">
        <v>9</v>
      </c>
      <c r="H88" s="176" t="s">
        <v>10</v>
      </c>
      <c r="I88" s="176" t="s">
        <v>64</v>
      </c>
      <c r="J88" s="176" t="s">
        <v>54</v>
      </c>
      <c r="K88" s="176" t="s">
        <v>270</v>
      </c>
      <c r="L88" s="177"/>
      <c r="M88" s="181"/>
      <c r="N88" s="183" t="s">
        <v>754</v>
      </c>
      <c r="O88" s="183">
        <v>39.200000000000003</v>
      </c>
      <c r="P88" s="182">
        <v>50.8</v>
      </c>
      <c r="Q88" s="182">
        <v>9.3000000000000007</v>
      </c>
      <c r="R88" s="182">
        <v>-2</v>
      </c>
      <c r="S88" s="182">
        <v>14.6</v>
      </c>
      <c r="T88" s="182">
        <v>26.4</v>
      </c>
      <c r="U88" s="182">
        <v>18.3</v>
      </c>
      <c r="V88" s="182">
        <v>51.4</v>
      </c>
      <c r="W88" s="183" t="s">
        <v>775</v>
      </c>
      <c r="X88" s="177"/>
      <c r="Y88" s="177"/>
      <c r="Z88" s="177"/>
      <c r="AA88" s="177"/>
      <c r="AB88" s="183">
        <v>54</v>
      </c>
      <c r="AC88" s="173" t="s">
        <v>744</v>
      </c>
      <c r="AD88" s="177"/>
      <c r="AE88" s="177">
        <v>31.9</v>
      </c>
      <c r="AF88" s="173" t="s">
        <v>744</v>
      </c>
      <c r="AG88" s="183"/>
      <c r="AH88" s="183">
        <v>27.8</v>
      </c>
      <c r="AI88" s="183" t="s">
        <v>247</v>
      </c>
      <c r="AJ88" s="207">
        <v>5.7389000000000001</v>
      </c>
      <c r="AK88" s="176">
        <v>8</v>
      </c>
      <c r="AL88" s="176"/>
      <c r="AM88" s="182">
        <f>SUM(L88:AH88)</f>
        <v>321.7</v>
      </c>
      <c r="AN88" s="185" t="s">
        <v>10</v>
      </c>
      <c r="AO88" s="183" t="s">
        <v>999</v>
      </c>
      <c r="AP88" s="183" t="s">
        <v>545</v>
      </c>
      <c r="AQ88" s="186">
        <f t="shared" ref="AQ88:AQ98" si="6">AH88/AR88</f>
        <v>9.2666666666666675</v>
      </c>
      <c r="AR88" s="187">
        <v>3</v>
      </c>
    </row>
    <row r="89" spans="1:44">
      <c r="A89" s="176">
        <v>416</v>
      </c>
      <c r="B89" s="180"/>
      <c r="C89" s="176" t="s">
        <v>911</v>
      </c>
      <c r="D89" s="176" t="s">
        <v>132</v>
      </c>
      <c r="E89" s="176" t="s">
        <v>152</v>
      </c>
      <c r="F89" s="176" t="s">
        <v>153</v>
      </c>
      <c r="G89" s="176" t="s">
        <v>9</v>
      </c>
      <c r="H89" s="176" t="s">
        <v>10</v>
      </c>
      <c r="I89" s="176" t="s">
        <v>743</v>
      </c>
      <c r="J89" s="176" t="s">
        <v>54</v>
      </c>
      <c r="K89" s="176" t="s">
        <v>270</v>
      </c>
      <c r="L89" s="177"/>
      <c r="M89" s="181"/>
      <c r="N89" s="183" t="s">
        <v>754</v>
      </c>
      <c r="O89" s="183">
        <v>79.599999999999994</v>
      </c>
      <c r="P89" s="182">
        <v>30.9</v>
      </c>
      <c r="Q89" s="182">
        <v>38.6</v>
      </c>
      <c r="R89" s="182">
        <v>43.8</v>
      </c>
      <c r="S89" s="182">
        <v>2.1</v>
      </c>
      <c r="T89" s="182">
        <v>37.200000000000003</v>
      </c>
      <c r="U89" s="182">
        <v>21</v>
      </c>
      <c r="V89" s="182">
        <v>63.5</v>
      </c>
      <c r="W89" s="183" t="s">
        <v>744</v>
      </c>
      <c r="X89" s="177"/>
      <c r="Y89" s="183">
        <v>30.5</v>
      </c>
      <c r="Z89" s="173" t="s">
        <v>744</v>
      </c>
      <c r="AA89" s="177"/>
      <c r="AB89" s="183">
        <v>43.9</v>
      </c>
      <c r="AC89" s="173" t="s">
        <v>744</v>
      </c>
      <c r="AD89" s="177"/>
      <c r="AE89" s="177">
        <v>12.3</v>
      </c>
      <c r="AF89" s="173" t="s">
        <v>744</v>
      </c>
      <c r="AG89" s="183"/>
      <c r="AH89" s="183">
        <v>9.1999999999999993</v>
      </c>
      <c r="AI89" s="183" t="s">
        <v>247</v>
      </c>
      <c r="AJ89" s="207">
        <v>9.5032999999999994</v>
      </c>
      <c r="AK89" s="176">
        <v>8</v>
      </c>
      <c r="AL89" s="176"/>
      <c r="AM89" s="182">
        <f>SUM(L89:AH89)</f>
        <v>412.59999999999997</v>
      </c>
      <c r="AN89" s="185" t="s">
        <v>10</v>
      </c>
      <c r="AO89" s="183" t="s">
        <v>999</v>
      </c>
      <c r="AP89" s="183" t="s">
        <v>545</v>
      </c>
      <c r="AQ89" s="186">
        <f t="shared" si="6"/>
        <v>3.0666666666666664</v>
      </c>
      <c r="AR89" s="187">
        <v>3</v>
      </c>
    </row>
    <row r="90" spans="1:44">
      <c r="A90" s="176">
        <v>417</v>
      </c>
      <c r="B90" s="180"/>
      <c r="C90" s="176" t="s">
        <v>912</v>
      </c>
      <c r="D90" s="176" t="s">
        <v>132</v>
      </c>
      <c r="E90" s="176" t="s">
        <v>154</v>
      </c>
      <c r="F90" s="176" t="s">
        <v>155</v>
      </c>
      <c r="G90" s="176" t="s">
        <v>9</v>
      </c>
      <c r="H90" s="176" t="s">
        <v>10</v>
      </c>
      <c r="I90" s="176" t="s">
        <v>743</v>
      </c>
      <c r="J90" s="176" t="s">
        <v>54</v>
      </c>
      <c r="K90" s="176" t="s">
        <v>270</v>
      </c>
      <c r="L90" s="177"/>
      <c r="M90" s="181"/>
      <c r="N90" s="183" t="s">
        <v>754</v>
      </c>
      <c r="O90" s="183">
        <v>34.200000000000003</v>
      </c>
      <c r="P90" s="182">
        <v>36.4</v>
      </c>
      <c r="Q90" s="182">
        <v>8.4</v>
      </c>
      <c r="R90" s="182">
        <v>28.8</v>
      </c>
      <c r="S90" s="182">
        <v>32.299999999999997</v>
      </c>
      <c r="T90" s="182">
        <v>25</v>
      </c>
      <c r="U90" s="182" t="s">
        <v>47</v>
      </c>
      <c r="V90" s="182">
        <v>8.5</v>
      </c>
      <c r="W90" s="183" t="s">
        <v>775</v>
      </c>
      <c r="X90" s="177"/>
      <c r="Y90" s="177"/>
      <c r="Z90" s="177"/>
      <c r="AA90" s="177"/>
      <c r="AB90" s="183">
        <v>48.7</v>
      </c>
      <c r="AC90" s="173" t="s">
        <v>744</v>
      </c>
      <c r="AD90" s="177"/>
      <c r="AE90" s="177">
        <v>21.5</v>
      </c>
      <c r="AF90" s="173" t="s">
        <v>744</v>
      </c>
      <c r="AG90" s="183"/>
      <c r="AH90" s="183">
        <v>16.899999999999999</v>
      </c>
      <c r="AI90" s="183" t="s">
        <v>247</v>
      </c>
      <c r="AJ90" s="207">
        <v>7.3992000000000004</v>
      </c>
      <c r="AK90" s="176">
        <v>8</v>
      </c>
      <c r="AL90" s="176" t="s">
        <v>913</v>
      </c>
      <c r="AM90" s="182">
        <f>SUM(V90:AH90)</f>
        <v>95.6</v>
      </c>
      <c r="AN90" s="185" t="s">
        <v>613</v>
      </c>
      <c r="AO90" s="183" t="s">
        <v>999</v>
      </c>
      <c r="AP90" s="183" t="s">
        <v>545</v>
      </c>
      <c r="AQ90" s="186">
        <f t="shared" si="6"/>
        <v>5.6333333333333329</v>
      </c>
      <c r="AR90" s="187">
        <v>3</v>
      </c>
    </row>
    <row r="91" spans="1:44">
      <c r="A91" s="176">
        <v>501</v>
      </c>
      <c r="B91" s="180"/>
      <c r="C91" s="176" t="s">
        <v>914</v>
      </c>
      <c r="D91" s="176" t="s">
        <v>156</v>
      </c>
      <c r="E91" s="176" t="s">
        <v>1058</v>
      </c>
      <c r="F91" s="176" t="s">
        <v>157</v>
      </c>
      <c r="G91" s="176" t="s">
        <v>12</v>
      </c>
      <c r="H91" s="176" t="s">
        <v>31</v>
      </c>
      <c r="I91" s="176" t="s">
        <v>743</v>
      </c>
      <c r="J91" s="176" t="s">
        <v>284</v>
      </c>
      <c r="K91" s="176" t="s">
        <v>263</v>
      </c>
      <c r="L91" s="177"/>
      <c r="M91" s="177"/>
      <c r="N91" s="177"/>
      <c r="O91" s="177"/>
      <c r="P91" s="177"/>
      <c r="Q91" s="182">
        <v>7.4</v>
      </c>
      <c r="R91" s="182">
        <v>0.6</v>
      </c>
      <c r="S91" s="183" t="s">
        <v>754</v>
      </c>
      <c r="T91" s="183">
        <v>1.8</v>
      </c>
      <c r="U91" s="173"/>
      <c r="V91" s="177"/>
      <c r="W91" s="177"/>
      <c r="X91" s="177"/>
      <c r="Y91" s="177"/>
      <c r="Z91" s="177"/>
      <c r="AA91" s="182" t="s">
        <v>47</v>
      </c>
      <c r="AB91" s="185" t="s">
        <v>1034</v>
      </c>
      <c r="AC91" s="177"/>
      <c r="AD91" s="177"/>
      <c r="AE91" s="177"/>
      <c r="AF91" s="183"/>
      <c r="AG91" s="183"/>
      <c r="AH91" s="183">
        <v>3.5</v>
      </c>
      <c r="AI91" s="183" t="s">
        <v>247</v>
      </c>
      <c r="AJ91" s="207">
        <v>64.021199999999993</v>
      </c>
      <c r="AK91" s="176">
        <v>8</v>
      </c>
      <c r="AL91" s="176" t="s">
        <v>916</v>
      </c>
      <c r="AM91" s="182">
        <f>SUM(AH91)</f>
        <v>3.5</v>
      </c>
      <c r="AN91" s="185" t="s">
        <v>619</v>
      </c>
      <c r="AO91" s="183" t="s">
        <v>999</v>
      </c>
      <c r="AP91" s="183" t="s">
        <v>545</v>
      </c>
      <c r="AQ91" s="186">
        <f t="shared" si="6"/>
        <v>0.58333333333333337</v>
      </c>
      <c r="AR91" s="187">
        <v>6</v>
      </c>
    </row>
    <row r="92" spans="1:44">
      <c r="A92" s="176">
        <v>502</v>
      </c>
      <c r="B92" s="180"/>
      <c r="C92" s="176" t="s">
        <v>917</v>
      </c>
      <c r="D92" s="176" t="s">
        <v>156</v>
      </c>
      <c r="E92" s="176" t="s">
        <v>158</v>
      </c>
      <c r="F92" s="176" t="s">
        <v>159</v>
      </c>
      <c r="G92" s="176" t="s">
        <v>12</v>
      </c>
      <c r="H92" s="176" t="s">
        <v>31</v>
      </c>
      <c r="I92" s="176" t="s">
        <v>743</v>
      </c>
      <c r="J92" s="176" t="s">
        <v>284</v>
      </c>
      <c r="K92" s="176" t="s">
        <v>263</v>
      </c>
      <c r="L92" s="177"/>
      <c r="M92" s="177"/>
      <c r="N92" s="177"/>
      <c r="O92" s="177"/>
      <c r="P92" s="177"/>
      <c r="Q92" s="182">
        <v>4.9000000000000004</v>
      </c>
      <c r="R92" s="182">
        <v>-4.7</v>
      </c>
      <c r="S92" s="183" t="s">
        <v>754</v>
      </c>
      <c r="T92" s="183">
        <v>3.3</v>
      </c>
      <c r="U92" s="185" t="s">
        <v>759</v>
      </c>
      <c r="V92" s="177"/>
      <c r="W92" s="177"/>
      <c r="X92" s="177"/>
      <c r="Y92" s="177"/>
      <c r="Z92" s="177"/>
      <c r="AA92" s="177"/>
      <c r="AB92" s="189">
        <v>9.3000000000000007</v>
      </c>
      <c r="AC92" s="173" t="s">
        <v>775</v>
      </c>
      <c r="AD92" s="177"/>
      <c r="AE92" s="177"/>
      <c r="AF92" s="183"/>
      <c r="AG92" s="183"/>
      <c r="AH92" s="183">
        <v>-2.9</v>
      </c>
      <c r="AI92" s="183" t="s">
        <v>247</v>
      </c>
      <c r="AJ92" s="207">
        <v>52.317500000000003</v>
      </c>
      <c r="AK92" s="176">
        <v>8</v>
      </c>
      <c r="AL92" s="176"/>
      <c r="AM92" s="182">
        <f>SUM(L92:AH92)</f>
        <v>9.9</v>
      </c>
      <c r="AN92" s="185" t="s">
        <v>31</v>
      </c>
      <c r="AO92" s="183" t="s">
        <v>999</v>
      </c>
      <c r="AP92" s="183" t="s">
        <v>545</v>
      </c>
      <c r="AQ92" s="186">
        <f t="shared" si="6"/>
        <v>-0.48333333333333334</v>
      </c>
      <c r="AR92" s="187">
        <v>6</v>
      </c>
    </row>
    <row r="93" spans="1:44">
      <c r="A93" s="176">
        <v>503</v>
      </c>
      <c r="B93" s="180"/>
      <c r="C93" s="176" t="s">
        <v>918</v>
      </c>
      <c r="D93" s="176" t="s">
        <v>156</v>
      </c>
      <c r="E93" s="176" t="s">
        <v>160</v>
      </c>
      <c r="F93" s="176" t="s">
        <v>161</v>
      </c>
      <c r="G93" s="176" t="s">
        <v>12</v>
      </c>
      <c r="H93" s="176" t="s">
        <v>31</v>
      </c>
      <c r="I93" s="176" t="s">
        <v>743</v>
      </c>
      <c r="J93" s="176" t="s">
        <v>284</v>
      </c>
      <c r="K93" s="176" t="s">
        <v>263</v>
      </c>
      <c r="L93" s="177"/>
      <c r="M93" s="177"/>
      <c r="N93" s="177"/>
      <c r="O93" s="177"/>
      <c r="P93" s="177"/>
      <c r="Q93" s="182">
        <v>3.7</v>
      </c>
      <c r="R93" s="182">
        <v>-0.3</v>
      </c>
      <c r="S93" s="183" t="s">
        <v>754</v>
      </c>
      <c r="T93" s="183">
        <v>0.5</v>
      </c>
      <c r="U93" s="185" t="s">
        <v>756</v>
      </c>
      <c r="V93" s="177"/>
      <c r="W93" s="177"/>
      <c r="X93" s="183">
        <v>2.9</v>
      </c>
      <c r="Y93" s="185" t="s">
        <v>756</v>
      </c>
      <c r="Z93" s="177"/>
      <c r="AA93" s="177"/>
      <c r="AB93" s="183">
        <v>11.5</v>
      </c>
      <c r="AC93" s="173" t="s">
        <v>744</v>
      </c>
      <c r="AD93" s="177"/>
      <c r="AE93" s="177">
        <v>-2.1</v>
      </c>
      <c r="AF93" s="173" t="s">
        <v>744</v>
      </c>
      <c r="AG93" s="183"/>
      <c r="AH93" s="183">
        <v>-0.3</v>
      </c>
      <c r="AI93" s="183" t="s">
        <v>247</v>
      </c>
      <c r="AJ93" s="207">
        <v>34.684100000000001</v>
      </c>
      <c r="AK93" s="176">
        <v>8</v>
      </c>
      <c r="AL93" s="176" t="s">
        <v>919</v>
      </c>
      <c r="AM93" s="182">
        <f>SUM(L93:AH93)</f>
        <v>15.899999999999999</v>
      </c>
      <c r="AN93" s="185" t="s">
        <v>31</v>
      </c>
      <c r="AO93" s="183" t="s">
        <v>999</v>
      </c>
      <c r="AP93" s="183" t="s">
        <v>545</v>
      </c>
      <c r="AQ93" s="186">
        <f t="shared" si="6"/>
        <v>-9.9999999999999992E-2</v>
      </c>
      <c r="AR93" s="187">
        <v>3</v>
      </c>
    </row>
    <row r="94" spans="1:44">
      <c r="A94" s="176">
        <v>504</v>
      </c>
      <c r="B94" s="180"/>
      <c r="C94" s="176" t="s">
        <v>920</v>
      </c>
      <c r="D94" s="176" t="s">
        <v>156</v>
      </c>
      <c r="E94" s="176" t="s">
        <v>162</v>
      </c>
      <c r="F94" s="176" t="s">
        <v>163</v>
      </c>
      <c r="G94" s="176" t="s">
        <v>9</v>
      </c>
      <c r="H94" s="176" t="s">
        <v>10</v>
      </c>
      <c r="I94" s="176" t="s">
        <v>743</v>
      </c>
      <c r="J94" s="176" t="s">
        <v>281</v>
      </c>
      <c r="K94" s="176" t="s">
        <v>1023</v>
      </c>
      <c r="L94" s="177"/>
      <c r="M94" s="181"/>
      <c r="N94" s="183" t="s">
        <v>744</v>
      </c>
      <c r="O94" s="177"/>
      <c r="P94" s="183">
        <v>2</v>
      </c>
      <c r="Q94" s="182">
        <v>9.1999999999999993</v>
      </c>
      <c r="R94" s="182">
        <v>1.8</v>
      </c>
      <c r="S94" s="183" t="s">
        <v>754</v>
      </c>
      <c r="T94" s="183">
        <v>7</v>
      </c>
      <c r="U94" s="185" t="s">
        <v>759</v>
      </c>
      <c r="V94" s="177"/>
      <c r="W94" s="177"/>
      <c r="X94" s="177"/>
      <c r="Y94" s="177"/>
      <c r="Z94" s="177"/>
      <c r="AA94" s="177"/>
      <c r="AB94" s="183">
        <v>10.7</v>
      </c>
      <c r="AC94" s="173" t="s">
        <v>744</v>
      </c>
      <c r="AD94" s="177"/>
      <c r="AE94" s="177">
        <v>1.8</v>
      </c>
      <c r="AF94" s="173" t="s">
        <v>744</v>
      </c>
      <c r="AG94" s="183"/>
      <c r="AH94" s="183">
        <v>1.4</v>
      </c>
      <c r="AI94" s="183" t="s">
        <v>247</v>
      </c>
      <c r="AJ94" s="207">
        <v>54.016599999999997</v>
      </c>
      <c r="AK94" s="176">
        <v>8</v>
      </c>
      <c r="AL94" s="176"/>
      <c r="AM94" s="182">
        <f>SUM(L94:AH94)</f>
        <v>33.9</v>
      </c>
      <c r="AN94" s="185" t="s">
        <v>10</v>
      </c>
      <c r="AO94" s="183" t="s">
        <v>999</v>
      </c>
      <c r="AP94" s="183" t="s">
        <v>545</v>
      </c>
      <c r="AQ94" s="186">
        <f t="shared" si="6"/>
        <v>0.46666666666666662</v>
      </c>
      <c r="AR94" s="187">
        <v>3</v>
      </c>
    </row>
    <row r="95" spans="1:44">
      <c r="A95" s="176">
        <v>505</v>
      </c>
      <c r="B95" s="180"/>
      <c r="C95" s="176" t="s">
        <v>922</v>
      </c>
      <c r="D95" s="176" t="s">
        <v>156</v>
      </c>
      <c r="E95" s="176" t="s">
        <v>164</v>
      </c>
      <c r="F95" s="176" t="s">
        <v>165</v>
      </c>
      <c r="G95" s="176" t="s">
        <v>9</v>
      </c>
      <c r="H95" s="176" t="s">
        <v>10</v>
      </c>
      <c r="I95" s="176" t="s">
        <v>743</v>
      </c>
      <c r="J95" s="176" t="s">
        <v>284</v>
      </c>
      <c r="K95" s="176" t="s">
        <v>263</v>
      </c>
      <c r="L95" s="177"/>
      <c r="M95" s="181"/>
      <c r="N95" s="183" t="s">
        <v>744</v>
      </c>
      <c r="O95" s="177"/>
      <c r="P95" s="183">
        <v>6.6</v>
      </c>
      <c r="Q95" s="182">
        <v>6.4</v>
      </c>
      <c r="R95" s="182">
        <v>2.5</v>
      </c>
      <c r="S95" s="183" t="s">
        <v>754</v>
      </c>
      <c r="T95" s="183">
        <v>1.5</v>
      </c>
      <c r="U95" s="185" t="s">
        <v>759</v>
      </c>
      <c r="V95" s="177"/>
      <c r="W95" s="177"/>
      <c r="X95" s="177"/>
      <c r="Y95" s="177"/>
      <c r="Z95" s="177"/>
      <c r="AA95" s="177"/>
      <c r="AB95" s="183">
        <v>13.1</v>
      </c>
      <c r="AC95" s="173" t="s">
        <v>744</v>
      </c>
      <c r="AD95" s="177"/>
      <c r="AE95" s="177">
        <v>2.7</v>
      </c>
      <c r="AF95" s="173" t="s">
        <v>744</v>
      </c>
      <c r="AG95" s="183"/>
      <c r="AH95" s="183">
        <v>0.6</v>
      </c>
      <c r="AI95" s="183" t="s">
        <v>247</v>
      </c>
      <c r="AJ95" s="207">
        <v>35.902900000000002</v>
      </c>
      <c r="AK95" s="176">
        <v>8</v>
      </c>
      <c r="AL95" s="176"/>
      <c r="AM95" s="182">
        <f>SUM(L95:AH95)</f>
        <v>33.400000000000006</v>
      </c>
      <c r="AN95" s="185" t="s">
        <v>10</v>
      </c>
      <c r="AO95" s="183" t="s">
        <v>999</v>
      </c>
      <c r="AP95" s="183" t="s">
        <v>545</v>
      </c>
      <c r="AQ95" s="186">
        <f t="shared" si="6"/>
        <v>0.19999999999999998</v>
      </c>
      <c r="AR95" s="187">
        <v>3</v>
      </c>
    </row>
    <row r="96" spans="1:44">
      <c r="A96" s="176">
        <v>506</v>
      </c>
      <c r="B96" s="180"/>
      <c r="C96" s="176" t="s">
        <v>923</v>
      </c>
      <c r="D96" s="176" t="s">
        <v>156</v>
      </c>
      <c r="E96" s="176" t="s">
        <v>166</v>
      </c>
      <c r="F96" s="176" t="s">
        <v>167</v>
      </c>
      <c r="G96" s="176" t="s">
        <v>9</v>
      </c>
      <c r="H96" s="176" t="s">
        <v>10</v>
      </c>
      <c r="I96" s="176" t="s">
        <v>743</v>
      </c>
      <c r="J96" s="176" t="s">
        <v>284</v>
      </c>
      <c r="K96" s="176" t="s">
        <v>263</v>
      </c>
      <c r="L96" s="177"/>
      <c r="M96" s="181"/>
      <c r="N96" s="183" t="s">
        <v>744</v>
      </c>
      <c r="O96" s="177"/>
      <c r="P96" s="183">
        <v>6.5</v>
      </c>
      <c r="Q96" s="182">
        <v>4.3</v>
      </c>
      <c r="R96" s="177"/>
      <c r="S96" s="177"/>
      <c r="T96" s="177"/>
      <c r="U96" s="177"/>
      <c r="V96" s="183" t="s">
        <v>168</v>
      </c>
      <c r="W96" s="177"/>
      <c r="X96" s="177"/>
      <c r="Y96" s="185" t="s">
        <v>756</v>
      </c>
      <c r="Z96" s="177"/>
      <c r="AA96" s="177"/>
      <c r="AB96" s="183">
        <v>11</v>
      </c>
      <c r="AC96" s="173" t="s">
        <v>744</v>
      </c>
      <c r="AD96" s="177"/>
      <c r="AE96" s="177">
        <v>0.2</v>
      </c>
      <c r="AF96" s="173" t="s">
        <v>744</v>
      </c>
      <c r="AG96" s="183"/>
      <c r="AH96" s="183">
        <v>-0.3</v>
      </c>
      <c r="AI96" s="183" t="s">
        <v>247</v>
      </c>
      <c r="AJ96" s="207">
        <v>34.697699999999998</v>
      </c>
      <c r="AK96" s="176">
        <v>8</v>
      </c>
      <c r="AL96" s="176" t="s">
        <v>924</v>
      </c>
      <c r="AM96" s="182">
        <f>SUM(AB96:AH96)</f>
        <v>10.899999999999999</v>
      </c>
      <c r="AN96" s="185" t="s">
        <v>616</v>
      </c>
      <c r="AO96" s="183" t="s">
        <v>999</v>
      </c>
      <c r="AP96" s="183" t="s">
        <v>545</v>
      </c>
      <c r="AQ96" s="186">
        <f t="shared" si="6"/>
        <v>-9.9999999999999992E-2</v>
      </c>
      <c r="AR96" s="187">
        <v>3</v>
      </c>
    </row>
    <row r="97" spans="1:44">
      <c r="A97" s="176">
        <v>507</v>
      </c>
      <c r="B97" s="180"/>
      <c r="C97" s="176" t="s">
        <v>925</v>
      </c>
      <c r="D97" s="176" t="s">
        <v>156</v>
      </c>
      <c r="E97" s="176" t="s">
        <v>169</v>
      </c>
      <c r="F97" s="176" t="s">
        <v>170</v>
      </c>
      <c r="G97" s="176" t="s">
        <v>9</v>
      </c>
      <c r="H97" s="176" t="s">
        <v>127</v>
      </c>
      <c r="I97" s="176" t="s">
        <v>743</v>
      </c>
      <c r="J97" s="176" t="s">
        <v>141</v>
      </c>
      <c r="K97" s="176" t="s">
        <v>1023</v>
      </c>
      <c r="L97" s="177"/>
      <c r="M97" s="177"/>
      <c r="N97" s="177"/>
      <c r="O97" s="177"/>
      <c r="P97" s="177"/>
      <c r="Q97" s="177"/>
      <c r="R97" s="182">
        <v>0.5</v>
      </c>
      <c r="S97" s="183" t="s">
        <v>754</v>
      </c>
      <c r="T97" s="189">
        <v>6.9</v>
      </c>
      <c r="U97" s="183" t="s">
        <v>759</v>
      </c>
      <c r="V97" s="177"/>
      <c r="W97" s="177"/>
      <c r="X97" s="177"/>
      <c r="Y97" s="177"/>
      <c r="Z97" s="177"/>
      <c r="AA97" s="177"/>
      <c r="AB97" s="183">
        <v>2.2999999999999998</v>
      </c>
      <c r="AC97" s="173" t="s">
        <v>775</v>
      </c>
      <c r="AD97" s="177"/>
      <c r="AE97" s="177"/>
      <c r="AF97" s="183"/>
      <c r="AG97" s="183"/>
      <c r="AH97" s="183">
        <v>-1.9</v>
      </c>
      <c r="AI97" s="183" t="s">
        <v>247</v>
      </c>
      <c r="AJ97" s="207">
        <v>106.9341</v>
      </c>
      <c r="AK97" s="176">
        <v>8</v>
      </c>
      <c r="AL97" s="176"/>
      <c r="AM97" s="182">
        <f>SUM(L97:AH97)</f>
        <v>7.7999999999999989</v>
      </c>
      <c r="AN97" s="185" t="s">
        <v>127</v>
      </c>
      <c r="AO97" s="183" t="s">
        <v>999</v>
      </c>
      <c r="AP97" s="183" t="s">
        <v>545</v>
      </c>
      <c r="AQ97" s="186">
        <f t="shared" si="6"/>
        <v>-0.31666666666666665</v>
      </c>
      <c r="AR97" s="187">
        <v>6</v>
      </c>
    </row>
    <row r="98" spans="1:44">
      <c r="A98" s="176">
        <v>508</v>
      </c>
      <c r="B98" s="180"/>
      <c r="C98" s="176" t="s">
        <v>926</v>
      </c>
      <c r="D98" s="176" t="s">
        <v>156</v>
      </c>
      <c r="E98" s="176" t="s">
        <v>171</v>
      </c>
      <c r="F98" s="176" t="s">
        <v>172</v>
      </c>
      <c r="G98" s="176" t="s">
        <v>9</v>
      </c>
      <c r="H98" s="176" t="s">
        <v>127</v>
      </c>
      <c r="I98" s="176" t="s">
        <v>743</v>
      </c>
      <c r="J98" s="176" t="s">
        <v>141</v>
      </c>
      <c r="K98" s="176" t="s">
        <v>1023</v>
      </c>
      <c r="L98" s="177"/>
      <c r="M98" s="177"/>
      <c r="N98" s="177"/>
      <c r="O98" s="177"/>
      <c r="P98" s="177"/>
      <c r="Q98" s="177"/>
      <c r="R98" s="182">
        <v>3.3</v>
      </c>
      <c r="S98" s="183" t="s">
        <v>754</v>
      </c>
      <c r="T98" s="189">
        <v>2</v>
      </c>
      <c r="U98" s="183" t="s">
        <v>759</v>
      </c>
      <c r="V98" s="177"/>
      <c r="W98" s="177"/>
      <c r="X98" s="177"/>
      <c r="Y98" s="177"/>
      <c r="Z98" s="177"/>
      <c r="AA98" s="177"/>
      <c r="AB98" s="183">
        <v>6.6</v>
      </c>
      <c r="AC98" s="173" t="s">
        <v>775</v>
      </c>
      <c r="AD98" s="177"/>
      <c r="AE98" s="177"/>
      <c r="AF98" s="183"/>
      <c r="AG98" s="183"/>
      <c r="AH98" s="183">
        <v>-0.5</v>
      </c>
      <c r="AI98" s="183" t="s">
        <v>247</v>
      </c>
      <c r="AJ98" s="207">
        <v>82.879099999999994</v>
      </c>
      <c r="AK98" s="176">
        <v>8</v>
      </c>
      <c r="AL98" s="176"/>
      <c r="AM98" s="182">
        <f>SUM(L98:AH98)</f>
        <v>11.399999999999999</v>
      </c>
      <c r="AN98" s="185" t="s">
        <v>127</v>
      </c>
      <c r="AO98" s="183" t="s">
        <v>999</v>
      </c>
      <c r="AP98" s="183" t="s">
        <v>545</v>
      </c>
      <c r="AQ98" s="186">
        <f t="shared" si="6"/>
        <v>-8.3333333333333329E-2</v>
      </c>
      <c r="AR98" s="187">
        <v>6</v>
      </c>
    </row>
    <row r="99" spans="1:44">
      <c r="A99" s="176">
        <v>601</v>
      </c>
      <c r="B99" s="180"/>
      <c r="C99" s="176" t="s">
        <v>931</v>
      </c>
      <c r="D99" s="176" t="s">
        <v>180</v>
      </c>
      <c r="E99" s="176" t="s">
        <v>932</v>
      </c>
      <c r="F99" s="176" t="s">
        <v>181</v>
      </c>
      <c r="G99" s="176" t="s">
        <v>9</v>
      </c>
      <c r="H99" s="176" t="s">
        <v>127</v>
      </c>
      <c r="I99" s="176" t="s">
        <v>743</v>
      </c>
      <c r="J99" s="176" t="s">
        <v>141</v>
      </c>
      <c r="K99" s="176" t="s">
        <v>1023</v>
      </c>
      <c r="L99" s="177"/>
      <c r="M99" s="177"/>
      <c r="N99" s="177"/>
      <c r="O99" s="177"/>
      <c r="P99" s="177"/>
      <c r="Q99" s="177"/>
      <c r="R99" s="182">
        <v>1.5</v>
      </c>
      <c r="S99" s="183" t="s">
        <v>754</v>
      </c>
      <c r="T99" s="189">
        <v>-0.2</v>
      </c>
      <c r="U99" s="183" t="s">
        <v>759</v>
      </c>
      <c r="V99" s="177"/>
      <c r="W99" s="177"/>
      <c r="X99" s="177"/>
      <c r="Y99" s="177"/>
      <c r="Z99" s="177"/>
      <c r="AA99" s="177"/>
      <c r="AB99" s="183">
        <v>4</v>
      </c>
      <c r="AC99" s="173"/>
      <c r="AD99" s="177"/>
      <c r="AE99" s="177"/>
      <c r="AF99" s="183"/>
      <c r="AG99" s="183"/>
      <c r="AH99" s="183"/>
      <c r="AI99" s="183" t="s">
        <v>247</v>
      </c>
      <c r="AJ99" s="207">
        <v>77.460999999999999</v>
      </c>
      <c r="AK99" s="176">
        <v>2</v>
      </c>
      <c r="AL99" s="176" t="s">
        <v>1035</v>
      </c>
      <c r="AM99" s="182"/>
      <c r="AN99" s="185"/>
      <c r="AO99" s="183"/>
      <c r="AP99" s="183"/>
      <c r="AQ99" s="186"/>
      <c r="AR99" s="187"/>
    </row>
    <row r="100" spans="1:44">
      <c r="A100" s="176">
        <v>602</v>
      </c>
      <c r="B100" s="180"/>
      <c r="C100" s="176" t="s">
        <v>934</v>
      </c>
      <c r="D100" s="176" t="s">
        <v>180</v>
      </c>
      <c r="E100" s="176" t="s">
        <v>182</v>
      </c>
      <c r="F100" s="176" t="s">
        <v>183</v>
      </c>
      <c r="G100" s="176" t="s">
        <v>12</v>
      </c>
      <c r="H100" s="176" t="s">
        <v>31</v>
      </c>
      <c r="I100" s="176" t="s">
        <v>743</v>
      </c>
      <c r="J100" s="176" t="s">
        <v>284</v>
      </c>
      <c r="K100" s="176" t="s">
        <v>263</v>
      </c>
      <c r="L100" s="177"/>
      <c r="M100" s="177"/>
      <c r="N100" s="177"/>
      <c r="O100" s="177"/>
      <c r="P100" s="177"/>
      <c r="Q100" s="182">
        <v>6.4</v>
      </c>
      <c r="R100" s="182">
        <v>0.4</v>
      </c>
      <c r="S100" s="183" t="s">
        <v>754</v>
      </c>
      <c r="T100" s="189">
        <v>0.7</v>
      </c>
      <c r="U100" s="183" t="s">
        <v>759</v>
      </c>
      <c r="V100" s="177"/>
      <c r="W100" s="177"/>
      <c r="X100" s="177"/>
      <c r="Y100" s="177"/>
      <c r="Z100" s="177"/>
      <c r="AA100" s="177"/>
      <c r="AB100" s="183">
        <v>0</v>
      </c>
      <c r="AC100" s="173" t="s">
        <v>775</v>
      </c>
      <c r="AD100" s="177"/>
      <c r="AE100" s="177"/>
      <c r="AF100" s="183"/>
      <c r="AG100" s="183"/>
      <c r="AH100" s="183">
        <v>2.2000000000000002</v>
      </c>
      <c r="AI100" s="183" t="s">
        <v>247</v>
      </c>
      <c r="AJ100" s="207">
        <v>94.949100000000001</v>
      </c>
      <c r="AK100" s="176">
        <v>8</v>
      </c>
      <c r="AL100" s="176"/>
      <c r="AM100" s="182">
        <f>SUM(L100:AH100)</f>
        <v>9.7000000000000011</v>
      </c>
      <c r="AN100" s="185" t="s">
        <v>31</v>
      </c>
      <c r="AO100" s="183" t="s">
        <v>999</v>
      </c>
      <c r="AP100" s="183" t="s">
        <v>545</v>
      </c>
      <c r="AQ100" s="186">
        <f>AH100/AR100</f>
        <v>0.3666666666666667</v>
      </c>
      <c r="AR100" s="187">
        <v>6</v>
      </c>
    </row>
    <row r="101" spans="1:44">
      <c r="A101" s="176">
        <v>603</v>
      </c>
      <c r="B101" s="180"/>
      <c r="C101" s="176" t="s">
        <v>935</v>
      </c>
      <c r="D101" s="176" t="s">
        <v>180</v>
      </c>
      <c r="E101" s="176" t="s">
        <v>184</v>
      </c>
      <c r="F101" s="176" t="s">
        <v>185</v>
      </c>
      <c r="G101" s="176" t="s">
        <v>12</v>
      </c>
      <c r="H101" s="176" t="s">
        <v>31</v>
      </c>
      <c r="I101" s="176" t="s">
        <v>743</v>
      </c>
      <c r="J101" s="176" t="s">
        <v>284</v>
      </c>
      <c r="K101" s="176" t="s">
        <v>263</v>
      </c>
      <c r="L101" s="177"/>
      <c r="M101" s="177"/>
      <c r="N101" s="177"/>
      <c r="O101" s="177"/>
      <c r="P101" s="177"/>
      <c r="Q101" s="182">
        <v>6</v>
      </c>
      <c r="R101" s="182">
        <v>-2.7</v>
      </c>
      <c r="S101" s="183" t="s">
        <v>754</v>
      </c>
      <c r="T101" s="189">
        <v>-0.4</v>
      </c>
      <c r="U101" s="183" t="s">
        <v>759</v>
      </c>
      <c r="V101" s="177"/>
      <c r="W101" s="177"/>
      <c r="X101" s="177"/>
      <c r="Y101" s="177"/>
      <c r="Z101" s="177"/>
      <c r="AA101" s="177"/>
      <c r="AB101" s="183">
        <v>1.4</v>
      </c>
      <c r="AC101" s="173" t="s">
        <v>775</v>
      </c>
      <c r="AD101" s="177"/>
      <c r="AE101" s="177"/>
      <c r="AF101" s="183"/>
      <c r="AG101" s="183"/>
      <c r="AH101" s="183">
        <v>0.1</v>
      </c>
      <c r="AI101" s="183" t="s">
        <v>247</v>
      </c>
      <c r="AJ101" s="207">
        <v>75.955399999999997</v>
      </c>
      <c r="AK101" s="176">
        <v>8</v>
      </c>
      <c r="AL101" s="176"/>
      <c r="AM101" s="182">
        <f>SUM(L101:AH101)</f>
        <v>4.3999999999999995</v>
      </c>
      <c r="AN101" s="185" t="s">
        <v>31</v>
      </c>
      <c r="AO101" s="183" t="s">
        <v>999</v>
      </c>
      <c r="AP101" s="183" t="s">
        <v>545</v>
      </c>
      <c r="AQ101" s="186">
        <f>AH101/AR101</f>
        <v>1.6666666666666666E-2</v>
      </c>
      <c r="AR101" s="187">
        <v>6</v>
      </c>
    </row>
    <row r="102" spans="1:44">
      <c r="A102" s="176">
        <v>701</v>
      </c>
      <c r="B102" s="180" t="s">
        <v>1003</v>
      </c>
      <c r="C102" s="176" t="s">
        <v>936</v>
      </c>
      <c r="D102" s="176" t="s">
        <v>186</v>
      </c>
      <c r="E102" s="176" t="s">
        <v>297</v>
      </c>
      <c r="F102" s="176" t="s">
        <v>187</v>
      </c>
      <c r="G102" s="176" t="s">
        <v>9</v>
      </c>
      <c r="H102" s="176" t="s">
        <v>19</v>
      </c>
      <c r="I102" s="176" t="s">
        <v>743</v>
      </c>
      <c r="J102" s="176" t="s">
        <v>284</v>
      </c>
      <c r="K102" s="176" t="s">
        <v>263</v>
      </c>
      <c r="L102" s="182">
        <v>11</v>
      </c>
      <c r="M102" s="182">
        <v>8.5</v>
      </c>
      <c r="N102" s="182">
        <v>3.9</v>
      </c>
      <c r="O102" s="183" t="s">
        <v>754</v>
      </c>
      <c r="P102" s="183">
        <v>18</v>
      </c>
      <c r="Q102" s="182">
        <v>10.1</v>
      </c>
      <c r="R102" s="182">
        <v>7.9</v>
      </c>
      <c r="S102" s="182">
        <v>-5.9</v>
      </c>
      <c r="T102" s="182">
        <v>6.6</v>
      </c>
      <c r="U102" s="182">
        <v>4.4000000000000004</v>
      </c>
      <c r="V102" s="182">
        <v>2.4</v>
      </c>
      <c r="W102" s="182">
        <v>5</v>
      </c>
      <c r="X102" s="182">
        <v>1.5</v>
      </c>
      <c r="Y102" s="182">
        <v>-4.8</v>
      </c>
      <c r="Z102" s="176">
        <v>6.4</v>
      </c>
      <c r="AA102" s="182">
        <v>4.3</v>
      </c>
      <c r="AB102" s="182">
        <v>1.6</v>
      </c>
      <c r="AC102" s="182">
        <v>5.7</v>
      </c>
      <c r="AD102" s="182">
        <v>0.7</v>
      </c>
      <c r="AE102" s="176">
        <v>-3.4</v>
      </c>
      <c r="AF102" s="182">
        <v>2.8</v>
      </c>
      <c r="AG102" s="182">
        <v>4.5999999999999996</v>
      </c>
      <c r="AH102" s="182">
        <v>13</v>
      </c>
      <c r="AI102" s="182">
        <v>9</v>
      </c>
      <c r="AJ102" s="207">
        <v>10.6647</v>
      </c>
      <c r="AK102" s="176">
        <v>9</v>
      </c>
      <c r="AL102" s="176"/>
      <c r="AM102" s="182">
        <f>SUM(L102:AI102)</f>
        <v>113.3</v>
      </c>
      <c r="AN102" s="185" t="s">
        <v>19</v>
      </c>
      <c r="AO102" s="183" t="s">
        <v>999</v>
      </c>
      <c r="AP102" s="183" t="s">
        <v>255</v>
      </c>
      <c r="AQ102" s="186">
        <f>AI102/AR102</f>
        <v>9</v>
      </c>
      <c r="AR102" s="187">
        <v>1</v>
      </c>
    </row>
    <row r="103" spans="1:44">
      <c r="A103" s="176">
        <v>702</v>
      </c>
      <c r="B103" s="180" t="s">
        <v>1003</v>
      </c>
      <c r="C103" s="176" t="s">
        <v>938</v>
      </c>
      <c r="D103" s="176" t="s">
        <v>186</v>
      </c>
      <c r="E103" s="176" t="s">
        <v>298</v>
      </c>
      <c r="F103" s="176" t="s">
        <v>282</v>
      </c>
      <c r="G103" s="176" t="s">
        <v>9</v>
      </c>
      <c r="H103" s="176" t="s">
        <v>19</v>
      </c>
      <c r="I103" s="176" t="s">
        <v>743</v>
      </c>
      <c r="J103" s="176" t="s">
        <v>54</v>
      </c>
      <c r="K103" s="176" t="s">
        <v>264</v>
      </c>
      <c r="L103" s="182">
        <v>6.5</v>
      </c>
      <c r="M103" s="182">
        <v>5.6</v>
      </c>
      <c r="N103" s="182">
        <v>1.6</v>
      </c>
      <c r="O103" s="183" t="s">
        <v>754</v>
      </c>
      <c r="P103" s="183">
        <v>27.6</v>
      </c>
      <c r="Q103" s="182">
        <v>8</v>
      </c>
      <c r="R103" s="182">
        <v>5.8</v>
      </c>
      <c r="S103" s="182">
        <v>-9.6</v>
      </c>
      <c r="T103" s="182">
        <v>11.1</v>
      </c>
      <c r="U103" s="182">
        <v>5</v>
      </c>
      <c r="V103" s="182">
        <v>10.1</v>
      </c>
      <c r="W103" s="182">
        <v>4.3</v>
      </c>
      <c r="X103" s="182">
        <v>2.4</v>
      </c>
      <c r="Y103" s="182">
        <v>-3.9</v>
      </c>
      <c r="Z103" s="176">
        <v>4.7</v>
      </c>
      <c r="AA103" s="182">
        <v>6.2</v>
      </c>
      <c r="AB103" s="182">
        <v>-3.7</v>
      </c>
      <c r="AC103" s="182">
        <v>8.9</v>
      </c>
      <c r="AD103" s="182">
        <v>-1.3</v>
      </c>
      <c r="AE103" s="176">
        <v>-1.5</v>
      </c>
      <c r="AF103" s="182">
        <v>2</v>
      </c>
      <c r="AG103" s="182">
        <v>4.0999999999999996</v>
      </c>
      <c r="AH103" s="182">
        <v>1.8</v>
      </c>
      <c r="AI103" s="182">
        <v>5.7</v>
      </c>
      <c r="AJ103" s="207">
        <v>6.5689000000000002</v>
      </c>
      <c r="AK103" s="176">
        <v>9</v>
      </c>
      <c r="AL103" s="176" t="s">
        <v>283</v>
      </c>
      <c r="AM103" s="182">
        <f>SUM(L103:AI103)</f>
        <v>101.39999999999999</v>
      </c>
      <c r="AN103" s="185" t="s">
        <v>19</v>
      </c>
      <c r="AO103" s="183" t="s">
        <v>999</v>
      </c>
      <c r="AP103" s="183" t="s">
        <v>255</v>
      </c>
      <c r="AQ103" s="186">
        <f>AI103/AR103</f>
        <v>5.7</v>
      </c>
      <c r="AR103" s="187">
        <v>1</v>
      </c>
    </row>
    <row r="104" spans="1:44">
      <c r="A104" s="176">
        <v>703</v>
      </c>
      <c r="B104" s="180" t="s">
        <v>1003</v>
      </c>
      <c r="C104" s="176" t="s">
        <v>941</v>
      </c>
      <c r="D104" s="176" t="s">
        <v>186</v>
      </c>
      <c r="E104" s="176" t="s">
        <v>942</v>
      </c>
      <c r="F104" s="176" t="s">
        <v>943</v>
      </c>
      <c r="G104" s="176" t="s">
        <v>12</v>
      </c>
      <c r="H104" s="176" t="s">
        <v>19</v>
      </c>
      <c r="I104" s="176" t="s">
        <v>743</v>
      </c>
      <c r="J104" s="176" t="s">
        <v>763</v>
      </c>
      <c r="K104" s="176" t="s">
        <v>263</v>
      </c>
      <c r="L104" s="182">
        <v>2.2000000000000002</v>
      </c>
      <c r="M104" s="182">
        <v>4</v>
      </c>
      <c r="N104" s="182">
        <v>-3.2</v>
      </c>
      <c r="O104" s="182">
        <v>6.6</v>
      </c>
      <c r="P104" s="182">
        <v>1.1000000000000001</v>
      </c>
      <c r="Q104" s="182">
        <v>0.9</v>
      </c>
      <c r="R104" s="182">
        <v>3</v>
      </c>
      <c r="S104" s="182">
        <v>-3.9</v>
      </c>
      <c r="T104" s="182">
        <v>2.5</v>
      </c>
      <c r="U104" s="182">
        <v>-0.5</v>
      </c>
      <c r="V104" s="182">
        <v>3.2</v>
      </c>
      <c r="W104" s="182">
        <v>1.2</v>
      </c>
      <c r="X104" s="182">
        <v>0</v>
      </c>
      <c r="Y104" s="182">
        <v>-4.5999999999999996</v>
      </c>
      <c r="Z104" s="176">
        <v>5.2</v>
      </c>
      <c r="AA104" s="182">
        <v>1.7</v>
      </c>
      <c r="AB104" s="182">
        <v>0</v>
      </c>
      <c r="AC104" s="182">
        <v>2.4</v>
      </c>
      <c r="AD104" s="182">
        <v>-1.2</v>
      </c>
      <c r="AE104" s="176">
        <v>-2.1</v>
      </c>
      <c r="AF104" s="182">
        <v>0.8</v>
      </c>
      <c r="AG104" s="182">
        <v>1.4</v>
      </c>
      <c r="AH104" s="182">
        <v>1.9</v>
      </c>
      <c r="AI104" s="182" t="s">
        <v>20</v>
      </c>
      <c r="AJ104" s="207">
        <v>15.8222</v>
      </c>
      <c r="AK104" s="176">
        <v>8</v>
      </c>
      <c r="AL104" s="176" t="s">
        <v>728</v>
      </c>
      <c r="AM104" s="182">
        <f>SUM(L104:AH104)</f>
        <v>22.599999999999994</v>
      </c>
      <c r="AN104" s="185" t="s">
        <v>19</v>
      </c>
      <c r="AO104" s="183" t="s">
        <v>999</v>
      </c>
      <c r="AP104" s="183" t="s">
        <v>545</v>
      </c>
      <c r="AQ104" s="186">
        <f>AH104/AR104</f>
        <v>1.9</v>
      </c>
      <c r="AR104" s="187">
        <v>1</v>
      </c>
    </row>
    <row r="105" spans="1:44">
      <c r="A105" s="176">
        <v>704</v>
      </c>
      <c r="B105" s="180" t="s">
        <v>1003</v>
      </c>
      <c r="C105" s="176" t="s">
        <v>944</v>
      </c>
      <c r="D105" s="176" t="s">
        <v>186</v>
      </c>
      <c r="E105" s="176" t="s">
        <v>1059</v>
      </c>
      <c r="F105" s="176" t="s">
        <v>188</v>
      </c>
      <c r="G105" s="176" t="s">
        <v>12</v>
      </c>
      <c r="H105" s="176" t="s">
        <v>19</v>
      </c>
      <c r="I105" s="176" t="s">
        <v>743</v>
      </c>
      <c r="J105" s="176" t="s">
        <v>284</v>
      </c>
      <c r="K105" s="176" t="s">
        <v>263</v>
      </c>
      <c r="L105" s="182">
        <v>9.9</v>
      </c>
      <c r="M105" s="182">
        <v>1.5</v>
      </c>
      <c r="N105" s="182">
        <v>-0.1</v>
      </c>
      <c r="O105" s="182">
        <v>0.8</v>
      </c>
      <c r="P105" s="182">
        <v>4.0999999999999996</v>
      </c>
      <c r="Q105" s="182">
        <v>0.8</v>
      </c>
      <c r="R105" s="182">
        <v>2.2999999999999998</v>
      </c>
      <c r="S105" s="182">
        <v>-3.7</v>
      </c>
      <c r="T105" s="182">
        <v>2.2999999999999998</v>
      </c>
      <c r="U105" s="182">
        <v>-0.2</v>
      </c>
      <c r="V105" s="182">
        <v>-0.3</v>
      </c>
      <c r="W105" s="182">
        <v>1.3</v>
      </c>
      <c r="X105" s="182">
        <v>1.2</v>
      </c>
      <c r="Y105" s="182">
        <v>-1.8</v>
      </c>
      <c r="Z105" s="176">
        <v>3.4</v>
      </c>
      <c r="AA105" s="182">
        <v>-1.7</v>
      </c>
      <c r="AB105" s="182">
        <v>0.8</v>
      </c>
      <c r="AC105" s="182">
        <v>1.5</v>
      </c>
      <c r="AD105" s="182">
        <v>-0.5</v>
      </c>
      <c r="AE105" s="182">
        <v>2</v>
      </c>
      <c r="AF105" s="182">
        <v>-0.1</v>
      </c>
      <c r="AG105" s="182">
        <v>0.3</v>
      </c>
      <c r="AH105" s="182">
        <v>2</v>
      </c>
      <c r="AI105" s="182">
        <v>2.5</v>
      </c>
      <c r="AJ105" s="207">
        <v>33.761400000000002</v>
      </c>
      <c r="AK105" s="176">
        <v>9</v>
      </c>
      <c r="AL105" s="176"/>
      <c r="AM105" s="182">
        <f>SUM(L105:AI105)</f>
        <v>28.300000000000004</v>
      </c>
      <c r="AN105" s="185" t="s">
        <v>19</v>
      </c>
      <c r="AO105" s="183" t="s">
        <v>999</v>
      </c>
      <c r="AP105" s="183" t="s">
        <v>255</v>
      </c>
      <c r="AQ105" s="186">
        <f>AI105/AR105</f>
        <v>2.5</v>
      </c>
      <c r="AR105" s="187">
        <v>1</v>
      </c>
    </row>
    <row r="106" spans="1:44">
      <c r="A106" s="176">
        <v>705</v>
      </c>
      <c r="B106" s="180"/>
      <c r="C106" s="176" t="s">
        <v>946</v>
      </c>
      <c r="D106" s="176" t="s">
        <v>186</v>
      </c>
      <c r="E106" s="176" t="s">
        <v>189</v>
      </c>
      <c r="F106" s="176" t="s">
        <v>190</v>
      </c>
      <c r="G106" s="176" t="s">
        <v>12</v>
      </c>
      <c r="H106" s="176" t="s">
        <v>19</v>
      </c>
      <c r="I106" s="176" t="s">
        <v>743</v>
      </c>
      <c r="J106" s="176" t="s">
        <v>1060</v>
      </c>
      <c r="K106" s="176" t="s">
        <v>263</v>
      </c>
      <c r="L106" s="182">
        <v>9.8000000000000007</v>
      </c>
      <c r="M106" s="182">
        <v>-2.2000000000000002</v>
      </c>
      <c r="N106" s="182">
        <v>-2.5</v>
      </c>
      <c r="O106" s="191">
        <v>-0.6</v>
      </c>
      <c r="P106" s="182">
        <v>5.4</v>
      </c>
      <c r="Q106" s="182">
        <v>1</v>
      </c>
      <c r="R106" s="182">
        <v>0.6</v>
      </c>
      <c r="S106" s="182">
        <v>-3.6</v>
      </c>
      <c r="T106" s="182">
        <v>3</v>
      </c>
      <c r="U106" s="182">
        <v>-1.7</v>
      </c>
      <c r="V106" s="182">
        <v>1.6</v>
      </c>
      <c r="W106" s="182">
        <v>3.3</v>
      </c>
      <c r="X106" s="182">
        <v>0.4</v>
      </c>
      <c r="Y106" s="182">
        <v>-1.6</v>
      </c>
      <c r="Z106" s="176" t="s">
        <v>744</v>
      </c>
      <c r="AA106" s="176"/>
      <c r="AB106" s="182">
        <v>0.6</v>
      </c>
      <c r="AC106" s="182">
        <v>2.2000000000000002</v>
      </c>
      <c r="AD106" s="182">
        <v>-0.9</v>
      </c>
      <c r="AE106" s="176">
        <v>1.1000000000000001</v>
      </c>
      <c r="AF106" s="182">
        <v>0.3</v>
      </c>
      <c r="AG106" s="182">
        <v>0.9</v>
      </c>
      <c r="AH106" s="182">
        <v>1.1000000000000001</v>
      </c>
      <c r="AI106" s="182">
        <v>0.4</v>
      </c>
      <c r="AJ106" s="207">
        <v>26.917000000000002</v>
      </c>
      <c r="AK106" s="176">
        <v>9</v>
      </c>
      <c r="AL106" s="176" t="s">
        <v>745</v>
      </c>
      <c r="AM106" s="182">
        <f>SUM(L106:AI106)</f>
        <v>18.600000000000001</v>
      </c>
      <c r="AN106" s="185" t="s">
        <v>19</v>
      </c>
      <c r="AO106" s="183" t="s">
        <v>999</v>
      </c>
      <c r="AP106" s="183" t="s">
        <v>288</v>
      </c>
      <c r="AQ106" s="186">
        <f>AI106/AR106</f>
        <v>0.4</v>
      </c>
      <c r="AR106" s="187">
        <v>1</v>
      </c>
    </row>
    <row r="107" spans="1:44">
      <c r="A107" s="176">
        <v>706</v>
      </c>
      <c r="B107" s="180" t="s">
        <v>1003</v>
      </c>
      <c r="C107" s="176" t="s">
        <v>947</v>
      </c>
      <c r="D107" s="176" t="s">
        <v>186</v>
      </c>
      <c r="E107" s="176" t="s">
        <v>189</v>
      </c>
      <c r="F107" s="176" t="s">
        <v>190</v>
      </c>
      <c r="G107" s="176" t="s">
        <v>9</v>
      </c>
      <c r="H107" s="176" t="s">
        <v>19</v>
      </c>
      <c r="I107" s="176" t="s">
        <v>743</v>
      </c>
      <c r="J107" s="176" t="s">
        <v>284</v>
      </c>
      <c r="K107" s="176" t="s">
        <v>263</v>
      </c>
      <c r="L107" s="182" t="s">
        <v>754</v>
      </c>
      <c r="M107" s="182">
        <v>12.9</v>
      </c>
      <c r="N107" s="182">
        <v>-2.1</v>
      </c>
      <c r="O107" s="182">
        <v>0.1</v>
      </c>
      <c r="P107" s="182">
        <v>6.1</v>
      </c>
      <c r="Q107" s="182">
        <v>1.2</v>
      </c>
      <c r="R107" s="182">
        <v>1.4</v>
      </c>
      <c r="S107" s="182">
        <v>-3.4</v>
      </c>
      <c r="T107" s="182">
        <v>3.5</v>
      </c>
      <c r="U107" s="182">
        <v>-1.7</v>
      </c>
      <c r="V107" s="182">
        <v>2.2999999999999998</v>
      </c>
      <c r="W107" s="182">
        <v>3.7</v>
      </c>
      <c r="X107" s="182">
        <v>1</v>
      </c>
      <c r="Y107" s="182">
        <v>-1.6</v>
      </c>
      <c r="Z107" s="182">
        <v>4</v>
      </c>
      <c r="AA107" s="182">
        <v>-0.8</v>
      </c>
      <c r="AB107" s="182">
        <v>-2.6</v>
      </c>
      <c r="AC107" s="182">
        <v>2.6</v>
      </c>
      <c r="AD107" s="182">
        <v>-0.7</v>
      </c>
      <c r="AE107" s="176">
        <v>1.9</v>
      </c>
      <c r="AF107" s="182" t="s">
        <v>87</v>
      </c>
      <c r="AG107" s="182">
        <v>1.9</v>
      </c>
      <c r="AH107" s="182">
        <v>2.1</v>
      </c>
      <c r="AI107" s="182">
        <v>0.9</v>
      </c>
      <c r="AJ107" s="207">
        <v>26.587599999999998</v>
      </c>
      <c r="AK107" s="176">
        <v>9</v>
      </c>
      <c r="AL107" s="176" t="s">
        <v>948</v>
      </c>
      <c r="AM107" s="182">
        <f>SUM(AG107:AI107)</f>
        <v>4.9000000000000004</v>
      </c>
      <c r="AN107" s="185" t="s">
        <v>36</v>
      </c>
      <c r="AO107" s="183" t="s">
        <v>999</v>
      </c>
      <c r="AP107" s="183" t="s">
        <v>255</v>
      </c>
      <c r="AQ107" s="186">
        <f>AI107/AR107</f>
        <v>0.9</v>
      </c>
      <c r="AR107" s="187">
        <v>1</v>
      </c>
    </row>
    <row r="108" spans="1:44">
      <c r="A108" s="176">
        <v>707</v>
      </c>
      <c r="B108" s="180" t="s">
        <v>1003</v>
      </c>
      <c r="C108" s="176" t="s">
        <v>949</v>
      </c>
      <c r="D108" s="176" t="s">
        <v>186</v>
      </c>
      <c r="E108" s="176" t="s">
        <v>191</v>
      </c>
      <c r="F108" s="176" t="s">
        <v>192</v>
      </c>
      <c r="G108" s="176" t="s">
        <v>9</v>
      </c>
      <c r="H108" s="176" t="s">
        <v>19</v>
      </c>
      <c r="I108" s="176" t="s">
        <v>743</v>
      </c>
      <c r="J108" s="176" t="s">
        <v>54</v>
      </c>
      <c r="K108" s="176" t="s">
        <v>264</v>
      </c>
      <c r="L108" s="182" t="s">
        <v>754</v>
      </c>
      <c r="M108" s="182">
        <v>121.1</v>
      </c>
      <c r="N108" s="182">
        <v>56.7</v>
      </c>
      <c r="O108" s="182">
        <v>10.199999999999999</v>
      </c>
      <c r="P108" s="182">
        <v>49.7</v>
      </c>
      <c r="Q108" s="182">
        <v>9</v>
      </c>
      <c r="R108" s="182">
        <v>3.2</v>
      </c>
      <c r="S108" s="182">
        <v>-4.4000000000000004</v>
      </c>
      <c r="T108" s="182">
        <v>7.9</v>
      </c>
      <c r="U108" s="182">
        <v>5.6</v>
      </c>
      <c r="V108" s="182">
        <v>19.899999999999999</v>
      </c>
      <c r="W108" s="182">
        <v>10.199999999999999</v>
      </c>
      <c r="X108" s="182">
        <v>1.4</v>
      </c>
      <c r="Y108" s="182">
        <v>-1.6</v>
      </c>
      <c r="Z108" s="176">
        <v>4.7</v>
      </c>
      <c r="AA108" s="182">
        <v>-0.6</v>
      </c>
      <c r="AB108" s="182">
        <v>1.6</v>
      </c>
      <c r="AC108" s="182">
        <v>7.3</v>
      </c>
      <c r="AD108" s="182">
        <v>-0.5</v>
      </c>
      <c r="AE108" s="176">
        <v>1.7</v>
      </c>
      <c r="AF108" s="182">
        <v>0.8</v>
      </c>
      <c r="AG108" s="182">
        <v>3.1</v>
      </c>
      <c r="AH108" s="182">
        <v>-2.2000000000000002</v>
      </c>
      <c r="AI108" s="182">
        <v>6.6</v>
      </c>
      <c r="AJ108" s="207">
        <v>9.1605000000000008</v>
      </c>
      <c r="AK108" s="176">
        <v>9</v>
      </c>
      <c r="AL108" s="176"/>
      <c r="AM108" s="182">
        <f>SUM(L108:AI108)</f>
        <v>311.39999999999998</v>
      </c>
      <c r="AN108" s="185" t="s">
        <v>19</v>
      </c>
      <c r="AO108" s="183" t="s">
        <v>999</v>
      </c>
      <c r="AP108" s="183" t="s">
        <v>255</v>
      </c>
      <c r="AQ108" s="186">
        <f>AI108/AR108</f>
        <v>6.6</v>
      </c>
      <c r="AR108" s="187">
        <v>1</v>
      </c>
    </row>
    <row r="109" spans="1:44">
      <c r="A109" s="176">
        <v>708</v>
      </c>
      <c r="B109" s="180" t="s">
        <v>1061</v>
      </c>
      <c r="C109" s="176" t="s">
        <v>950</v>
      </c>
      <c r="D109" s="176" t="s">
        <v>186</v>
      </c>
      <c r="E109" s="176" t="s">
        <v>193</v>
      </c>
      <c r="F109" s="176" t="s">
        <v>951</v>
      </c>
      <c r="G109" s="176" t="s">
        <v>9</v>
      </c>
      <c r="H109" s="176" t="s">
        <v>19</v>
      </c>
      <c r="I109" s="176" t="s">
        <v>743</v>
      </c>
      <c r="J109" s="176" t="s">
        <v>763</v>
      </c>
      <c r="K109" s="176" t="s">
        <v>264</v>
      </c>
      <c r="L109" s="182" t="s">
        <v>754</v>
      </c>
      <c r="M109" s="182">
        <v>54.5</v>
      </c>
      <c r="N109" s="182">
        <v>1.8</v>
      </c>
      <c r="O109" s="182">
        <v>1.1000000000000001</v>
      </c>
      <c r="P109" s="182">
        <v>7.8</v>
      </c>
      <c r="Q109" s="182">
        <v>2.6</v>
      </c>
      <c r="R109" s="182">
        <v>2.2000000000000002</v>
      </c>
      <c r="S109" s="182">
        <v>-5.9</v>
      </c>
      <c r="T109" s="182">
        <v>6.1</v>
      </c>
      <c r="U109" s="182">
        <v>-2.1</v>
      </c>
      <c r="V109" s="182">
        <v>9.1</v>
      </c>
      <c r="W109" s="182">
        <v>3.6</v>
      </c>
      <c r="X109" s="182">
        <v>-0.7</v>
      </c>
      <c r="Y109" s="182">
        <v>-0.5</v>
      </c>
      <c r="Z109" s="176">
        <v>3.7</v>
      </c>
      <c r="AA109" s="182">
        <v>-0.7</v>
      </c>
      <c r="AB109" s="182">
        <v>-0.8</v>
      </c>
      <c r="AC109" s="182">
        <v>2.9</v>
      </c>
      <c r="AD109" s="182">
        <v>-0.3</v>
      </c>
      <c r="AE109" s="176">
        <v>0.1</v>
      </c>
      <c r="AF109" s="182">
        <v>0.6</v>
      </c>
      <c r="AG109" s="182">
        <v>2.4</v>
      </c>
      <c r="AH109" s="182">
        <v>5.8</v>
      </c>
      <c r="AI109" s="182">
        <v>5.6</v>
      </c>
      <c r="AJ109" s="207">
        <v>12.888299999999999</v>
      </c>
      <c r="AK109" s="176">
        <v>9</v>
      </c>
      <c r="AL109" s="176"/>
      <c r="AM109" s="182">
        <f>SUM(L109:AI109)</f>
        <v>98.899999999999977</v>
      </c>
      <c r="AN109" s="185" t="s">
        <v>19</v>
      </c>
      <c r="AO109" s="183" t="s">
        <v>999</v>
      </c>
      <c r="AP109" s="183" t="s">
        <v>255</v>
      </c>
      <c r="AQ109" s="186">
        <f>AI109/AR109</f>
        <v>5.6</v>
      </c>
      <c r="AR109" s="187">
        <v>1</v>
      </c>
    </row>
    <row r="110" spans="1:44">
      <c r="A110" s="176">
        <v>709</v>
      </c>
      <c r="B110" s="180"/>
      <c r="C110" s="176" t="s">
        <v>952</v>
      </c>
      <c r="D110" s="176" t="s">
        <v>186</v>
      </c>
      <c r="E110" s="176" t="s">
        <v>194</v>
      </c>
      <c r="F110" s="176" t="s">
        <v>195</v>
      </c>
      <c r="G110" s="176" t="s">
        <v>12</v>
      </c>
      <c r="H110" s="176" t="s">
        <v>19</v>
      </c>
      <c r="I110" s="176" t="s">
        <v>743</v>
      </c>
      <c r="J110" s="176" t="s">
        <v>284</v>
      </c>
      <c r="K110" s="176" t="s">
        <v>263</v>
      </c>
      <c r="L110" s="182">
        <v>26.4</v>
      </c>
      <c r="M110" s="182">
        <v>-4.5999999999999996</v>
      </c>
      <c r="N110" s="182">
        <v>-4.0999999999999996</v>
      </c>
      <c r="O110" s="183" t="s">
        <v>754</v>
      </c>
      <c r="P110" s="183">
        <v>7.5</v>
      </c>
      <c r="Q110" s="191">
        <v>-0.2</v>
      </c>
      <c r="R110" s="182">
        <v>2.5</v>
      </c>
      <c r="S110" s="182">
        <v>-4.4000000000000004</v>
      </c>
      <c r="T110" s="182">
        <v>3.2</v>
      </c>
      <c r="U110" s="182">
        <v>-1.6</v>
      </c>
      <c r="V110" s="182">
        <v>1.8</v>
      </c>
      <c r="W110" s="182">
        <v>5.7</v>
      </c>
      <c r="X110" s="182">
        <v>-0.9</v>
      </c>
      <c r="Y110" s="183" t="s">
        <v>756</v>
      </c>
      <c r="Z110" s="177"/>
      <c r="AA110" s="177"/>
      <c r="AB110" s="183">
        <v>2.2000000000000002</v>
      </c>
      <c r="AC110" s="173" t="s">
        <v>744</v>
      </c>
      <c r="AD110" s="177"/>
      <c r="AE110" s="189">
        <v>3</v>
      </c>
      <c r="AF110" s="183" t="s">
        <v>1039</v>
      </c>
      <c r="AG110" s="183"/>
      <c r="AH110" s="183">
        <v>1.9</v>
      </c>
      <c r="AI110" s="206" t="s">
        <v>247</v>
      </c>
      <c r="AJ110" s="205">
        <v>23.742899999999999</v>
      </c>
      <c r="AK110" s="176">
        <v>8</v>
      </c>
      <c r="AL110" s="176"/>
      <c r="AM110" s="182">
        <f t="shared" ref="AM110:AM119" si="7">SUM(L110:AH110)</f>
        <v>38.4</v>
      </c>
      <c r="AN110" s="185" t="s">
        <v>19</v>
      </c>
      <c r="AO110" s="183" t="s">
        <v>999</v>
      </c>
      <c r="AP110" s="183" t="s">
        <v>545</v>
      </c>
      <c r="AQ110" s="186">
        <f t="shared" ref="AQ110:AQ123" si="8">AH110/AR110</f>
        <v>0.6333333333333333</v>
      </c>
      <c r="AR110" s="187">
        <v>3</v>
      </c>
    </row>
    <row r="111" spans="1:44">
      <c r="A111" s="176">
        <v>801</v>
      </c>
      <c r="B111" s="180"/>
      <c r="C111" s="176" t="s">
        <v>953</v>
      </c>
      <c r="D111" s="176" t="s">
        <v>196</v>
      </c>
      <c r="E111" s="176" t="s">
        <v>197</v>
      </c>
      <c r="F111" s="176" t="s">
        <v>198</v>
      </c>
      <c r="G111" s="176" t="s">
        <v>9</v>
      </c>
      <c r="H111" s="176" t="s">
        <v>10</v>
      </c>
      <c r="I111" s="176" t="s">
        <v>743</v>
      </c>
      <c r="J111" s="176" t="s">
        <v>141</v>
      </c>
      <c r="K111" s="176" t="s">
        <v>1023</v>
      </c>
      <c r="L111" s="177"/>
      <c r="M111" s="181"/>
      <c r="N111" s="183" t="s">
        <v>754</v>
      </c>
      <c r="O111" s="183">
        <v>-8.6999999999999993</v>
      </c>
      <c r="P111" s="182">
        <v>15.2</v>
      </c>
      <c r="Q111" s="182">
        <v>2.9</v>
      </c>
      <c r="R111" s="182">
        <v>10.5</v>
      </c>
      <c r="S111" s="183" t="s">
        <v>754</v>
      </c>
      <c r="T111" s="183">
        <v>-0.8</v>
      </c>
      <c r="U111" s="183" t="s">
        <v>754</v>
      </c>
      <c r="V111" s="183">
        <v>91</v>
      </c>
      <c r="W111" s="185" t="s">
        <v>775</v>
      </c>
      <c r="X111" s="177"/>
      <c r="Y111" s="177"/>
      <c r="Z111" s="177"/>
      <c r="AA111" s="177"/>
      <c r="AB111" s="183">
        <v>-67.400000000000006</v>
      </c>
      <c r="AC111" s="173" t="s">
        <v>744</v>
      </c>
      <c r="AD111" s="177"/>
      <c r="AE111" s="181">
        <v>4.0999999999999996</v>
      </c>
      <c r="AF111" s="173" t="s">
        <v>744</v>
      </c>
      <c r="AG111" s="183"/>
      <c r="AH111" s="183">
        <v>6.1</v>
      </c>
      <c r="AI111" s="183" t="s">
        <v>247</v>
      </c>
      <c r="AJ111" s="207">
        <v>28.400500000000001</v>
      </c>
      <c r="AK111" s="176">
        <v>8</v>
      </c>
      <c r="AL111" s="176"/>
      <c r="AM111" s="182">
        <f t="shared" si="7"/>
        <v>52.899999999999991</v>
      </c>
      <c r="AN111" s="185" t="s">
        <v>10</v>
      </c>
      <c r="AO111" s="183" t="s">
        <v>999</v>
      </c>
      <c r="AP111" s="183" t="s">
        <v>545</v>
      </c>
      <c r="AQ111" s="186">
        <f t="shared" si="8"/>
        <v>2.0333333333333332</v>
      </c>
      <c r="AR111" s="187">
        <v>3</v>
      </c>
    </row>
    <row r="112" spans="1:44">
      <c r="A112" s="176">
        <v>802</v>
      </c>
      <c r="B112" s="180"/>
      <c r="C112" s="176" t="s">
        <v>954</v>
      </c>
      <c r="D112" s="176" t="s">
        <v>196</v>
      </c>
      <c r="E112" s="176" t="s">
        <v>199</v>
      </c>
      <c r="F112" s="176" t="s">
        <v>200</v>
      </c>
      <c r="G112" s="176" t="s">
        <v>12</v>
      </c>
      <c r="H112" s="176" t="s">
        <v>10</v>
      </c>
      <c r="I112" s="176" t="s">
        <v>743</v>
      </c>
      <c r="J112" s="176" t="s">
        <v>141</v>
      </c>
      <c r="K112" s="176" t="s">
        <v>1023</v>
      </c>
      <c r="L112" s="177"/>
      <c r="M112" s="177"/>
      <c r="N112" s="182">
        <v>-3.6</v>
      </c>
      <c r="O112" s="182">
        <v>-3.9</v>
      </c>
      <c r="P112" s="182">
        <v>13.7</v>
      </c>
      <c r="Q112" s="182">
        <v>4.8</v>
      </c>
      <c r="R112" s="182">
        <v>12.3</v>
      </c>
      <c r="S112" s="183" t="s">
        <v>754</v>
      </c>
      <c r="T112" s="183">
        <v>-2.9</v>
      </c>
      <c r="U112" s="183" t="s">
        <v>754</v>
      </c>
      <c r="V112" s="183">
        <v>-0.5</v>
      </c>
      <c r="W112" s="185" t="s">
        <v>775</v>
      </c>
      <c r="X112" s="177"/>
      <c r="Y112" s="177"/>
      <c r="Z112" s="177"/>
      <c r="AA112" s="177"/>
      <c r="AB112" s="183">
        <v>30.2</v>
      </c>
      <c r="AC112" s="173" t="s">
        <v>744</v>
      </c>
      <c r="AD112" s="177"/>
      <c r="AE112" s="181">
        <v>9.1999999999999993</v>
      </c>
      <c r="AF112" s="173" t="s">
        <v>744</v>
      </c>
      <c r="AG112" s="183"/>
      <c r="AH112" s="183">
        <v>8.1</v>
      </c>
      <c r="AI112" s="183" t="s">
        <v>247</v>
      </c>
      <c r="AJ112" s="207">
        <v>23.6859</v>
      </c>
      <c r="AK112" s="176">
        <v>8</v>
      </c>
      <c r="AL112" s="176"/>
      <c r="AM112" s="182">
        <f t="shared" si="7"/>
        <v>67.399999999999991</v>
      </c>
      <c r="AN112" s="185" t="s">
        <v>10</v>
      </c>
      <c r="AO112" s="183" t="s">
        <v>999</v>
      </c>
      <c r="AP112" s="183" t="s">
        <v>545</v>
      </c>
      <c r="AQ112" s="186">
        <f t="shared" si="8"/>
        <v>2.6999999999999997</v>
      </c>
      <c r="AR112" s="187">
        <v>3</v>
      </c>
    </row>
    <row r="113" spans="1:44">
      <c r="A113" s="176">
        <v>803</v>
      </c>
      <c r="B113" s="180"/>
      <c r="C113" s="176" t="s">
        <v>955</v>
      </c>
      <c r="D113" s="176" t="s">
        <v>196</v>
      </c>
      <c r="E113" s="176" t="s">
        <v>201</v>
      </c>
      <c r="F113" s="176" t="s">
        <v>202</v>
      </c>
      <c r="G113" s="176" t="s">
        <v>12</v>
      </c>
      <c r="H113" s="176" t="s">
        <v>10</v>
      </c>
      <c r="I113" s="176" t="s">
        <v>743</v>
      </c>
      <c r="J113" s="176" t="s">
        <v>141</v>
      </c>
      <c r="K113" s="176" t="s">
        <v>1023</v>
      </c>
      <c r="L113" s="177"/>
      <c r="M113" s="177"/>
      <c r="N113" s="182">
        <v>-2.6</v>
      </c>
      <c r="O113" s="182">
        <v>-3.3</v>
      </c>
      <c r="P113" s="182">
        <v>11.7</v>
      </c>
      <c r="Q113" s="182">
        <v>5</v>
      </c>
      <c r="R113" s="182">
        <v>12.9</v>
      </c>
      <c r="S113" s="183" t="s">
        <v>754</v>
      </c>
      <c r="T113" s="183">
        <v>4.7</v>
      </c>
      <c r="U113" s="185" t="s">
        <v>759</v>
      </c>
      <c r="V113" s="177"/>
      <c r="W113" s="177"/>
      <c r="X113" s="177"/>
      <c r="Y113" s="177"/>
      <c r="Z113" s="177"/>
      <c r="AA113" s="177"/>
      <c r="AB113" s="183">
        <v>21.7</v>
      </c>
      <c r="AC113" s="173" t="s">
        <v>744</v>
      </c>
      <c r="AD113" s="177"/>
      <c r="AE113" s="181">
        <v>9.9</v>
      </c>
      <c r="AF113" s="173" t="s">
        <v>744</v>
      </c>
      <c r="AG113" s="183"/>
      <c r="AH113" s="183">
        <v>7.4</v>
      </c>
      <c r="AI113" s="183" t="s">
        <v>247</v>
      </c>
      <c r="AJ113" s="207">
        <v>47.278399999999998</v>
      </c>
      <c r="AK113" s="176">
        <v>8</v>
      </c>
      <c r="AL113" s="176"/>
      <c r="AM113" s="182">
        <f t="shared" si="7"/>
        <v>67.399999999999991</v>
      </c>
      <c r="AN113" s="185" t="s">
        <v>10</v>
      </c>
      <c r="AO113" s="183" t="s">
        <v>999</v>
      </c>
      <c r="AP113" s="183" t="s">
        <v>545</v>
      </c>
      <c r="AQ113" s="186">
        <f t="shared" si="8"/>
        <v>2.4666666666666668</v>
      </c>
      <c r="AR113" s="187">
        <v>3</v>
      </c>
    </row>
    <row r="114" spans="1:44">
      <c r="A114" s="176">
        <v>804</v>
      </c>
      <c r="B114" s="180"/>
      <c r="C114" s="176" t="s">
        <v>956</v>
      </c>
      <c r="D114" s="176" t="s">
        <v>196</v>
      </c>
      <c r="E114" s="176" t="s">
        <v>203</v>
      </c>
      <c r="F114" s="176" t="s">
        <v>290</v>
      </c>
      <c r="G114" s="176" t="s">
        <v>9</v>
      </c>
      <c r="H114" s="176" t="s">
        <v>10</v>
      </c>
      <c r="I114" s="176" t="s">
        <v>743</v>
      </c>
      <c r="J114" s="176" t="s">
        <v>141</v>
      </c>
      <c r="K114" s="176" t="s">
        <v>1023</v>
      </c>
      <c r="L114" s="177"/>
      <c r="M114" s="181"/>
      <c r="N114" s="183" t="s">
        <v>754</v>
      </c>
      <c r="O114" s="183">
        <v>19.600000000000001</v>
      </c>
      <c r="P114" s="182">
        <v>11.4</v>
      </c>
      <c r="Q114" s="182">
        <v>3.5</v>
      </c>
      <c r="R114" s="182">
        <v>7.4</v>
      </c>
      <c r="S114" s="183" t="s">
        <v>754</v>
      </c>
      <c r="T114" s="183">
        <v>0.8</v>
      </c>
      <c r="U114" s="185" t="s">
        <v>759</v>
      </c>
      <c r="V114" s="177"/>
      <c r="W114" s="177"/>
      <c r="X114" s="177"/>
      <c r="Y114" s="177"/>
      <c r="Z114" s="177"/>
      <c r="AA114" s="177"/>
      <c r="AB114" s="183">
        <v>22.7</v>
      </c>
      <c r="AC114" s="173" t="s">
        <v>775</v>
      </c>
      <c r="AD114" s="177"/>
      <c r="AE114" s="177"/>
      <c r="AF114" s="183"/>
      <c r="AG114" s="183"/>
      <c r="AH114" s="183">
        <v>19.2</v>
      </c>
      <c r="AI114" s="183" t="s">
        <v>247</v>
      </c>
      <c r="AJ114" s="207">
        <v>39.233600000000003</v>
      </c>
      <c r="AK114" s="176">
        <v>8</v>
      </c>
      <c r="AL114" s="176"/>
      <c r="AM114" s="182">
        <f t="shared" si="7"/>
        <v>84.6</v>
      </c>
      <c r="AN114" s="185" t="s">
        <v>10</v>
      </c>
      <c r="AO114" s="183" t="s">
        <v>999</v>
      </c>
      <c r="AP114" s="183" t="s">
        <v>545</v>
      </c>
      <c r="AQ114" s="186">
        <f t="shared" si="8"/>
        <v>3.1999999999999997</v>
      </c>
      <c r="AR114" s="187">
        <v>6</v>
      </c>
    </row>
    <row r="115" spans="1:44">
      <c r="A115" s="176">
        <v>805</v>
      </c>
      <c r="B115" s="180"/>
      <c r="C115" s="176" t="s">
        <v>958</v>
      </c>
      <c r="D115" s="176" t="s">
        <v>196</v>
      </c>
      <c r="E115" s="176" t="s">
        <v>204</v>
      </c>
      <c r="F115" s="176" t="s">
        <v>205</v>
      </c>
      <c r="G115" s="176" t="s">
        <v>9</v>
      </c>
      <c r="H115" s="176" t="s">
        <v>127</v>
      </c>
      <c r="I115" s="176" t="s">
        <v>743</v>
      </c>
      <c r="J115" s="176" t="s">
        <v>141</v>
      </c>
      <c r="K115" s="176" t="s">
        <v>1023</v>
      </c>
      <c r="L115" s="177"/>
      <c r="M115" s="177"/>
      <c r="N115" s="177"/>
      <c r="O115" s="177"/>
      <c r="P115" s="177"/>
      <c r="Q115" s="177"/>
      <c r="R115" s="182">
        <v>6.1</v>
      </c>
      <c r="S115" s="183" t="s">
        <v>754</v>
      </c>
      <c r="T115" s="183">
        <v>1.9</v>
      </c>
      <c r="U115" s="185" t="s">
        <v>759</v>
      </c>
      <c r="V115" s="177"/>
      <c r="W115" s="177"/>
      <c r="X115" s="177"/>
      <c r="Y115" s="177"/>
      <c r="Z115" s="177"/>
      <c r="AA115" s="177"/>
      <c r="AB115" s="183">
        <v>28</v>
      </c>
      <c r="AC115" s="173" t="s">
        <v>775</v>
      </c>
      <c r="AD115" s="177"/>
      <c r="AE115" s="177"/>
      <c r="AF115" s="177"/>
      <c r="AG115" s="183"/>
      <c r="AH115" s="183">
        <v>19.8</v>
      </c>
      <c r="AI115" s="183" t="s">
        <v>247</v>
      </c>
      <c r="AJ115" s="207">
        <v>22.272300000000001</v>
      </c>
      <c r="AK115" s="176">
        <v>8</v>
      </c>
      <c r="AL115" s="176"/>
      <c r="AM115" s="182">
        <f t="shared" si="7"/>
        <v>55.8</v>
      </c>
      <c r="AN115" s="185" t="s">
        <v>127</v>
      </c>
      <c r="AO115" s="183" t="s">
        <v>999</v>
      </c>
      <c r="AP115" s="183" t="s">
        <v>545</v>
      </c>
      <c r="AQ115" s="186">
        <f t="shared" si="8"/>
        <v>3.3000000000000003</v>
      </c>
      <c r="AR115" s="187">
        <v>6</v>
      </c>
    </row>
    <row r="116" spans="1:44">
      <c r="A116" s="176">
        <v>806</v>
      </c>
      <c r="B116" s="180"/>
      <c r="C116" s="176" t="s">
        <v>959</v>
      </c>
      <c r="D116" s="176" t="s">
        <v>196</v>
      </c>
      <c r="E116" s="176" t="s">
        <v>206</v>
      </c>
      <c r="F116" s="176" t="s">
        <v>207</v>
      </c>
      <c r="G116" s="176" t="s">
        <v>9</v>
      </c>
      <c r="H116" s="176" t="s">
        <v>31</v>
      </c>
      <c r="I116" s="176" t="s">
        <v>743</v>
      </c>
      <c r="J116" s="176" t="s">
        <v>141</v>
      </c>
      <c r="K116" s="176" t="s">
        <v>1023</v>
      </c>
      <c r="L116" s="177"/>
      <c r="M116" s="177"/>
      <c r="N116" s="177"/>
      <c r="O116" s="177"/>
      <c r="P116" s="177"/>
      <c r="Q116" s="182">
        <v>9.1999999999999993</v>
      </c>
      <c r="R116" s="182">
        <v>10.8</v>
      </c>
      <c r="S116" s="183" t="s">
        <v>754</v>
      </c>
      <c r="T116" s="183">
        <v>-5.7</v>
      </c>
      <c r="U116" s="185" t="s">
        <v>759</v>
      </c>
      <c r="V116" s="177"/>
      <c r="W116" s="177"/>
      <c r="X116" s="177"/>
      <c r="Y116" s="177"/>
      <c r="Z116" s="177"/>
      <c r="AA116" s="177"/>
      <c r="AB116" s="183">
        <v>32.9</v>
      </c>
      <c r="AC116" s="173" t="s">
        <v>775</v>
      </c>
      <c r="AD116" s="177"/>
      <c r="AE116" s="177"/>
      <c r="AF116" s="183"/>
      <c r="AG116" s="183"/>
      <c r="AH116" s="183">
        <v>27</v>
      </c>
      <c r="AI116" s="183" t="s">
        <v>247</v>
      </c>
      <c r="AJ116" s="207">
        <v>28.846900000000002</v>
      </c>
      <c r="AK116" s="176">
        <v>8</v>
      </c>
      <c r="AL116" s="176"/>
      <c r="AM116" s="182">
        <f t="shared" si="7"/>
        <v>74.2</v>
      </c>
      <c r="AN116" s="185" t="s">
        <v>31</v>
      </c>
      <c r="AO116" s="183" t="s">
        <v>999</v>
      </c>
      <c r="AP116" s="183" t="s">
        <v>545</v>
      </c>
      <c r="AQ116" s="186">
        <f t="shared" si="8"/>
        <v>4.5</v>
      </c>
      <c r="AR116" s="187">
        <v>6</v>
      </c>
    </row>
    <row r="117" spans="1:44">
      <c r="A117" s="176">
        <v>807</v>
      </c>
      <c r="B117" s="180"/>
      <c r="C117" s="176" t="s">
        <v>960</v>
      </c>
      <c r="D117" s="176" t="s">
        <v>196</v>
      </c>
      <c r="E117" s="176" t="s">
        <v>208</v>
      </c>
      <c r="F117" s="176" t="s">
        <v>209</v>
      </c>
      <c r="G117" s="176" t="s">
        <v>12</v>
      </c>
      <c r="H117" s="176" t="s">
        <v>31</v>
      </c>
      <c r="I117" s="176" t="s">
        <v>743</v>
      </c>
      <c r="J117" s="176" t="s">
        <v>54</v>
      </c>
      <c r="K117" s="176" t="s">
        <v>291</v>
      </c>
      <c r="L117" s="177"/>
      <c r="M117" s="177"/>
      <c r="N117" s="177"/>
      <c r="O117" s="177"/>
      <c r="P117" s="177"/>
      <c r="Q117" s="182">
        <v>13.4</v>
      </c>
      <c r="R117" s="182">
        <v>12.2</v>
      </c>
      <c r="S117" s="182">
        <v>11.7</v>
      </c>
      <c r="T117" s="182">
        <v>9.9</v>
      </c>
      <c r="U117" s="182">
        <v>7.2</v>
      </c>
      <c r="V117" s="182">
        <v>11.3</v>
      </c>
      <c r="W117" s="185" t="s">
        <v>775</v>
      </c>
      <c r="X117" s="177"/>
      <c r="Y117" s="177"/>
      <c r="Z117" s="177"/>
      <c r="AA117" s="177"/>
      <c r="AB117" s="183">
        <v>42.6</v>
      </c>
      <c r="AC117" s="173" t="s">
        <v>744</v>
      </c>
      <c r="AD117" s="177"/>
      <c r="AE117" s="181">
        <v>23.7</v>
      </c>
      <c r="AF117" s="173" t="s">
        <v>744</v>
      </c>
      <c r="AG117" s="183"/>
      <c r="AH117" s="183">
        <v>15</v>
      </c>
      <c r="AI117" s="183" t="s">
        <v>247</v>
      </c>
      <c r="AJ117" s="207">
        <v>11.5901</v>
      </c>
      <c r="AK117" s="176">
        <v>8</v>
      </c>
      <c r="AL117" s="176"/>
      <c r="AM117" s="182">
        <f t="shared" si="7"/>
        <v>147</v>
      </c>
      <c r="AN117" s="185" t="s">
        <v>31</v>
      </c>
      <c r="AO117" s="183" t="s">
        <v>999</v>
      </c>
      <c r="AP117" s="183" t="s">
        <v>545</v>
      </c>
      <c r="AQ117" s="186">
        <f t="shared" si="8"/>
        <v>5</v>
      </c>
      <c r="AR117" s="187">
        <v>3</v>
      </c>
    </row>
    <row r="118" spans="1:44">
      <c r="A118" s="176">
        <v>808</v>
      </c>
      <c r="B118" s="180"/>
      <c r="C118" s="176" t="s">
        <v>961</v>
      </c>
      <c r="D118" s="176" t="s">
        <v>196</v>
      </c>
      <c r="E118" s="176" t="s">
        <v>210</v>
      </c>
      <c r="F118" s="176" t="s">
        <v>211</v>
      </c>
      <c r="G118" s="176" t="s">
        <v>12</v>
      </c>
      <c r="H118" s="176" t="s">
        <v>10</v>
      </c>
      <c r="I118" s="176" t="s">
        <v>743</v>
      </c>
      <c r="J118" s="176" t="s">
        <v>141</v>
      </c>
      <c r="K118" s="176" t="s">
        <v>1023</v>
      </c>
      <c r="L118" s="177"/>
      <c r="M118" s="177"/>
      <c r="N118" s="182">
        <v>-1.7</v>
      </c>
      <c r="O118" s="182">
        <v>-6</v>
      </c>
      <c r="P118" s="182">
        <v>13.3</v>
      </c>
      <c r="Q118" s="182">
        <v>4.8</v>
      </c>
      <c r="R118" s="182">
        <v>15.8</v>
      </c>
      <c r="S118" s="182">
        <v>-6.4</v>
      </c>
      <c r="T118" s="182">
        <v>-1.9</v>
      </c>
      <c r="U118" s="183" t="s">
        <v>754</v>
      </c>
      <c r="V118" s="183">
        <v>-1.7</v>
      </c>
      <c r="W118" s="185" t="s">
        <v>775</v>
      </c>
      <c r="X118" s="177"/>
      <c r="Y118" s="177"/>
      <c r="Z118" s="177"/>
      <c r="AA118" s="177"/>
      <c r="AB118" s="183">
        <v>29.1</v>
      </c>
      <c r="AC118" s="173" t="s">
        <v>744</v>
      </c>
      <c r="AD118" s="177"/>
      <c r="AE118" s="181">
        <v>13.3</v>
      </c>
      <c r="AF118" s="173" t="s">
        <v>744</v>
      </c>
      <c r="AG118" s="183"/>
      <c r="AH118" s="183">
        <v>8.1</v>
      </c>
      <c r="AI118" s="183" t="s">
        <v>247</v>
      </c>
      <c r="AJ118" s="207">
        <v>22.674199999999999</v>
      </c>
      <c r="AK118" s="176">
        <v>8</v>
      </c>
      <c r="AL118" s="176"/>
      <c r="AM118" s="182">
        <f t="shared" si="7"/>
        <v>66.7</v>
      </c>
      <c r="AN118" s="185" t="s">
        <v>10</v>
      </c>
      <c r="AO118" s="183" t="s">
        <v>999</v>
      </c>
      <c r="AP118" s="183" t="s">
        <v>545</v>
      </c>
      <c r="AQ118" s="186">
        <f t="shared" si="8"/>
        <v>2.6999999999999997</v>
      </c>
      <c r="AR118" s="187">
        <v>3</v>
      </c>
    </row>
    <row r="119" spans="1:44">
      <c r="A119" s="176">
        <v>809</v>
      </c>
      <c r="B119" s="180"/>
      <c r="C119" s="176" t="s">
        <v>962</v>
      </c>
      <c r="D119" s="176" t="s">
        <v>196</v>
      </c>
      <c r="E119" s="176" t="s">
        <v>212</v>
      </c>
      <c r="F119" s="176" t="s">
        <v>213</v>
      </c>
      <c r="G119" s="176" t="s">
        <v>9</v>
      </c>
      <c r="H119" s="176" t="s">
        <v>10</v>
      </c>
      <c r="I119" s="176" t="s">
        <v>743</v>
      </c>
      <c r="J119" s="176" t="s">
        <v>141</v>
      </c>
      <c r="K119" s="176" t="s">
        <v>1023</v>
      </c>
      <c r="L119" s="177"/>
      <c r="M119" s="181"/>
      <c r="N119" s="183" t="s">
        <v>754</v>
      </c>
      <c r="O119" s="183">
        <v>-5.4</v>
      </c>
      <c r="P119" s="182">
        <v>15.1</v>
      </c>
      <c r="Q119" s="182">
        <v>1.9</v>
      </c>
      <c r="R119" s="182">
        <v>15.5</v>
      </c>
      <c r="S119" s="182">
        <v>-3.2</v>
      </c>
      <c r="T119" s="182">
        <v>-0.2</v>
      </c>
      <c r="U119" s="183" t="s">
        <v>754</v>
      </c>
      <c r="V119" s="183">
        <v>-0.5</v>
      </c>
      <c r="W119" s="185" t="s">
        <v>775</v>
      </c>
      <c r="X119" s="177"/>
      <c r="Y119" s="177"/>
      <c r="Z119" s="177"/>
      <c r="AA119" s="177"/>
      <c r="AB119" s="183">
        <v>25</v>
      </c>
      <c r="AC119" s="173" t="s">
        <v>744</v>
      </c>
      <c r="AD119" s="177"/>
      <c r="AE119" s="181">
        <v>12.8</v>
      </c>
      <c r="AF119" s="173" t="s">
        <v>744</v>
      </c>
      <c r="AG119" s="183"/>
      <c r="AH119" s="183">
        <v>6.9</v>
      </c>
      <c r="AI119" s="183" t="s">
        <v>247</v>
      </c>
      <c r="AJ119" s="207">
        <v>16.861999999999998</v>
      </c>
      <c r="AK119" s="176">
        <v>8</v>
      </c>
      <c r="AL119" s="176"/>
      <c r="AM119" s="182">
        <f t="shared" si="7"/>
        <v>67.900000000000006</v>
      </c>
      <c r="AN119" s="185" t="s">
        <v>10</v>
      </c>
      <c r="AO119" s="183" t="s">
        <v>999</v>
      </c>
      <c r="AP119" s="183" t="s">
        <v>545</v>
      </c>
      <c r="AQ119" s="186">
        <f t="shared" si="8"/>
        <v>2.3000000000000003</v>
      </c>
      <c r="AR119" s="187">
        <v>3</v>
      </c>
    </row>
    <row r="120" spans="1:44">
      <c r="A120" s="176">
        <v>810</v>
      </c>
      <c r="B120" s="180"/>
      <c r="C120" s="176" t="s">
        <v>963</v>
      </c>
      <c r="D120" s="176" t="s">
        <v>196</v>
      </c>
      <c r="E120" s="176" t="s">
        <v>214</v>
      </c>
      <c r="F120" s="176" t="s">
        <v>215</v>
      </c>
      <c r="G120" s="176" t="s">
        <v>9</v>
      </c>
      <c r="H120" s="176" t="s">
        <v>10</v>
      </c>
      <c r="I120" s="176" t="s">
        <v>743</v>
      </c>
      <c r="J120" s="176" t="s">
        <v>54</v>
      </c>
      <c r="K120" s="176" t="s">
        <v>270</v>
      </c>
      <c r="L120" s="177"/>
      <c r="M120" s="181"/>
      <c r="N120" s="183" t="s">
        <v>754</v>
      </c>
      <c r="O120" s="183">
        <v>21.7</v>
      </c>
      <c r="P120" s="182">
        <v>40.9</v>
      </c>
      <c r="Q120" s="182">
        <v>25.7</v>
      </c>
      <c r="R120" s="182">
        <v>24.8</v>
      </c>
      <c r="S120" s="182">
        <v>-2.1</v>
      </c>
      <c r="T120" s="182">
        <v>57.7</v>
      </c>
      <c r="U120" s="182" t="s">
        <v>770</v>
      </c>
      <c r="V120" s="182" t="s">
        <v>770</v>
      </c>
      <c r="W120" s="185" t="s">
        <v>775</v>
      </c>
      <c r="X120" s="177"/>
      <c r="Y120" s="177"/>
      <c r="Z120" s="177"/>
      <c r="AA120" s="177"/>
      <c r="AB120" s="183">
        <v>83</v>
      </c>
      <c r="AC120" s="173" t="s">
        <v>744</v>
      </c>
      <c r="AD120" s="177"/>
      <c r="AE120" s="181">
        <v>48.5</v>
      </c>
      <c r="AF120" s="173" t="s">
        <v>744</v>
      </c>
      <c r="AG120" s="183"/>
      <c r="AH120" s="183">
        <v>51.6</v>
      </c>
      <c r="AI120" s="183" t="s">
        <v>247</v>
      </c>
      <c r="AJ120" s="207">
        <v>7.7798999999999996</v>
      </c>
      <c r="AK120" s="176">
        <v>8</v>
      </c>
      <c r="AL120" s="176" t="s">
        <v>964</v>
      </c>
      <c r="AM120" s="182">
        <f>SUM(AB120:AH120)</f>
        <v>183.1</v>
      </c>
      <c r="AN120" s="185" t="s">
        <v>614</v>
      </c>
      <c r="AO120" s="183" t="s">
        <v>999</v>
      </c>
      <c r="AP120" s="183" t="s">
        <v>545</v>
      </c>
      <c r="AQ120" s="186">
        <f t="shared" si="8"/>
        <v>17.2</v>
      </c>
      <c r="AR120" s="187">
        <v>3</v>
      </c>
    </row>
    <row r="121" spans="1:44">
      <c r="A121" s="176">
        <v>811</v>
      </c>
      <c r="B121" s="180"/>
      <c r="C121" s="176" t="s">
        <v>965</v>
      </c>
      <c r="D121" s="176" t="s">
        <v>196</v>
      </c>
      <c r="E121" s="176" t="s">
        <v>1040</v>
      </c>
      <c r="F121" s="176" t="s">
        <v>216</v>
      </c>
      <c r="G121" s="176" t="s">
        <v>9</v>
      </c>
      <c r="H121" s="176" t="s">
        <v>10</v>
      </c>
      <c r="I121" s="176" t="s">
        <v>64</v>
      </c>
      <c r="J121" s="176" t="s">
        <v>54</v>
      </c>
      <c r="K121" s="176" t="s">
        <v>270</v>
      </c>
      <c r="L121" s="177"/>
      <c r="M121" s="181"/>
      <c r="N121" s="183" t="s">
        <v>754</v>
      </c>
      <c r="O121" s="183">
        <v>67.400000000000006</v>
      </c>
      <c r="P121" s="182">
        <v>62.3</v>
      </c>
      <c r="Q121" s="182">
        <v>38.799999999999997</v>
      </c>
      <c r="R121" s="182">
        <v>24.3</v>
      </c>
      <c r="S121" s="182">
        <v>6.3</v>
      </c>
      <c r="T121" s="182">
        <v>28.1</v>
      </c>
      <c r="U121" s="182" t="s">
        <v>47</v>
      </c>
      <c r="V121" s="182">
        <v>65.099999999999994</v>
      </c>
      <c r="W121" s="185" t="s">
        <v>95</v>
      </c>
      <c r="X121" s="177"/>
      <c r="Y121" s="177"/>
      <c r="Z121" s="177"/>
      <c r="AA121" s="177"/>
      <c r="AB121" s="177"/>
      <c r="AC121" s="177"/>
      <c r="AD121" s="177"/>
      <c r="AE121" s="177"/>
      <c r="AF121" s="183"/>
      <c r="AG121" s="183"/>
      <c r="AH121" s="183">
        <v>254.1</v>
      </c>
      <c r="AI121" s="183" t="s">
        <v>247</v>
      </c>
      <c r="AJ121" s="207">
        <v>6.6619000000000002</v>
      </c>
      <c r="AK121" s="176">
        <v>8</v>
      </c>
      <c r="AL121" s="176" t="s">
        <v>967</v>
      </c>
      <c r="AM121" s="182">
        <f>SUM(V121:AH121)</f>
        <v>319.2</v>
      </c>
      <c r="AN121" s="185" t="s">
        <v>613</v>
      </c>
      <c r="AO121" s="183" t="s">
        <v>999</v>
      </c>
      <c r="AP121" s="183" t="s">
        <v>545</v>
      </c>
      <c r="AQ121" s="186">
        <f t="shared" si="8"/>
        <v>21.175000000000001</v>
      </c>
      <c r="AR121" s="187">
        <v>12</v>
      </c>
    </row>
    <row r="122" spans="1:44">
      <c r="A122" s="176">
        <v>812</v>
      </c>
      <c r="B122" s="180"/>
      <c r="C122" s="176" t="s">
        <v>968</v>
      </c>
      <c r="D122" s="176" t="s">
        <v>196</v>
      </c>
      <c r="E122" s="176" t="s">
        <v>1041</v>
      </c>
      <c r="F122" s="176" t="s">
        <v>292</v>
      </c>
      <c r="G122" s="176" t="s">
        <v>9</v>
      </c>
      <c r="H122" s="176" t="s">
        <v>10</v>
      </c>
      <c r="I122" s="176" t="s">
        <v>64</v>
      </c>
      <c r="J122" s="176" t="s">
        <v>54</v>
      </c>
      <c r="K122" s="176" t="s">
        <v>270</v>
      </c>
      <c r="L122" s="177"/>
      <c r="M122" s="181"/>
      <c r="N122" s="183" t="s">
        <v>754</v>
      </c>
      <c r="O122" s="183">
        <v>13.3</v>
      </c>
      <c r="P122" s="182">
        <v>14.8</v>
      </c>
      <c r="Q122" s="182">
        <v>7.1</v>
      </c>
      <c r="R122" s="182">
        <v>1.2</v>
      </c>
      <c r="S122" s="182">
        <v>-1.3</v>
      </c>
      <c r="T122" s="182">
        <v>11.3</v>
      </c>
      <c r="U122" s="182">
        <v>2.7</v>
      </c>
      <c r="V122" s="182">
        <v>14.2</v>
      </c>
      <c r="W122" s="185" t="s">
        <v>95</v>
      </c>
      <c r="X122" s="177"/>
      <c r="Y122" s="177"/>
      <c r="Z122" s="177"/>
      <c r="AA122" s="177"/>
      <c r="AB122" s="177"/>
      <c r="AC122" s="177"/>
      <c r="AD122" s="177"/>
      <c r="AE122" s="177"/>
      <c r="AF122" s="183"/>
      <c r="AG122" s="183"/>
      <c r="AH122" s="183">
        <v>59.8</v>
      </c>
      <c r="AI122" s="183" t="s">
        <v>247</v>
      </c>
      <c r="AJ122" s="207">
        <v>4.2828999999999997</v>
      </c>
      <c r="AK122" s="176">
        <v>8</v>
      </c>
      <c r="AL122" s="176"/>
      <c r="AM122" s="182">
        <f>SUM(L122:AH122)</f>
        <v>123.10000000000001</v>
      </c>
      <c r="AN122" s="185" t="s">
        <v>10</v>
      </c>
      <c r="AO122" s="183" t="s">
        <v>999</v>
      </c>
      <c r="AP122" s="183" t="s">
        <v>545</v>
      </c>
      <c r="AQ122" s="186">
        <f t="shared" si="8"/>
        <v>4.9833333333333334</v>
      </c>
      <c r="AR122" s="187">
        <v>12</v>
      </c>
    </row>
    <row r="123" spans="1:44">
      <c r="A123" s="176">
        <v>901</v>
      </c>
      <c r="B123" s="180"/>
      <c r="C123" s="176" t="s">
        <v>971</v>
      </c>
      <c r="D123" s="176" t="s">
        <v>217</v>
      </c>
      <c r="E123" s="176" t="s">
        <v>218</v>
      </c>
      <c r="F123" s="176" t="s">
        <v>219</v>
      </c>
      <c r="G123" s="176" t="s">
        <v>9</v>
      </c>
      <c r="H123" s="176" t="s">
        <v>31</v>
      </c>
      <c r="I123" s="176" t="s">
        <v>64</v>
      </c>
      <c r="J123" s="176" t="s">
        <v>220</v>
      </c>
      <c r="K123" s="176" t="s">
        <v>264</v>
      </c>
      <c r="L123" s="177"/>
      <c r="M123" s="177"/>
      <c r="N123" s="177"/>
      <c r="O123" s="177"/>
      <c r="P123" s="177"/>
      <c r="Q123" s="182">
        <v>3.5</v>
      </c>
      <c r="R123" s="182">
        <v>-3.1</v>
      </c>
      <c r="S123" s="183" t="s">
        <v>754</v>
      </c>
      <c r="T123" s="183">
        <v>-2.7</v>
      </c>
      <c r="U123" s="185" t="s">
        <v>754</v>
      </c>
      <c r="V123" s="183">
        <v>6.1</v>
      </c>
      <c r="W123" s="185" t="s">
        <v>95</v>
      </c>
      <c r="X123" s="177"/>
      <c r="Y123" s="177"/>
      <c r="Z123" s="177"/>
      <c r="AA123" s="177"/>
      <c r="AB123" s="177"/>
      <c r="AC123" s="177"/>
      <c r="AD123" s="177"/>
      <c r="AE123" s="177"/>
      <c r="AF123" s="183"/>
      <c r="AG123" s="183"/>
      <c r="AH123" s="183">
        <v>-2.4</v>
      </c>
      <c r="AI123" s="183" t="s">
        <v>247</v>
      </c>
      <c r="AJ123" s="207">
        <v>5.1375000000000002</v>
      </c>
      <c r="AK123" s="176">
        <v>8</v>
      </c>
      <c r="AL123" s="176"/>
      <c r="AM123" s="182">
        <f>SUM(L123:AH123)</f>
        <v>1.3999999999999995</v>
      </c>
      <c r="AN123" s="185" t="s">
        <v>31</v>
      </c>
      <c r="AO123" s="183" t="s">
        <v>999</v>
      </c>
      <c r="AP123" s="183" t="s">
        <v>545</v>
      </c>
      <c r="AQ123" s="186">
        <f t="shared" si="8"/>
        <v>-0.19999999999999998</v>
      </c>
      <c r="AR123" s="187">
        <v>12</v>
      </c>
    </row>
    <row r="124" spans="1:44">
      <c r="A124" s="176">
        <v>902</v>
      </c>
      <c r="B124" s="180"/>
      <c r="C124" s="176" t="s">
        <v>972</v>
      </c>
      <c r="D124" s="176" t="s">
        <v>217</v>
      </c>
      <c r="E124" s="176" t="s">
        <v>973</v>
      </c>
      <c r="F124" s="176" t="s">
        <v>974</v>
      </c>
      <c r="G124" s="176" t="s">
        <v>9</v>
      </c>
      <c r="H124" s="176" t="s">
        <v>31</v>
      </c>
      <c r="I124" s="176" t="s">
        <v>64</v>
      </c>
      <c r="J124" s="176" t="s">
        <v>220</v>
      </c>
      <c r="K124" s="176" t="s">
        <v>264</v>
      </c>
      <c r="L124" s="177"/>
      <c r="M124" s="177"/>
      <c r="N124" s="177"/>
      <c r="O124" s="177"/>
      <c r="P124" s="177"/>
      <c r="Q124" s="182">
        <v>6.3</v>
      </c>
      <c r="R124" s="182">
        <v>-1.4</v>
      </c>
      <c r="S124" s="183" t="s">
        <v>754</v>
      </c>
      <c r="T124" s="183">
        <v>-4.5999999999999996</v>
      </c>
      <c r="U124" s="185" t="s">
        <v>754</v>
      </c>
      <c r="V124" s="183">
        <v>7.5</v>
      </c>
      <c r="W124" s="173"/>
      <c r="X124" s="177"/>
      <c r="Y124" s="177"/>
      <c r="Z124" s="177"/>
      <c r="AA124" s="177"/>
      <c r="AB124" s="177"/>
      <c r="AC124" s="177"/>
      <c r="AD124" s="177"/>
      <c r="AE124" s="177"/>
      <c r="AF124" s="183"/>
      <c r="AG124" s="183"/>
      <c r="AH124" s="183"/>
      <c r="AI124" s="183" t="s">
        <v>247</v>
      </c>
      <c r="AJ124" s="207">
        <v>5.4322999999999997</v>
      </c>
      <c r="AK124" s="176">
        <v>59</v>
      </c>
      <c r="AL124" s="176" t="s">
        <v>20</v>
      </c>
      <c r="AM124" s="182"/>
      <c r="AN124" s="185"/>
      <c r="AO124" s="183"/>
      <c r="AP124" s="183"/>
      <c r="AQ124" s="186"/>
      <c r="AR124" s="187"/>
    </row>
    <row r="125" spans="1:44">
      <c r="A125" s="176">
        <v>903</v>
      </c>
      <c r="B125" s="180"/>
      <c r="C125" s="176" t="s">
        <v>975</v>
      </c>
      <c r="D125" s="176" t="s">
        <v>217</v>
      </c>
      <c r="E125" s="176" t="s">
        <v>221</v>
      </c>
      <c r="F125" s="176" t="s">
        <v>222</v>
      </c>
      <c r="G125" s="176" t="s">
        <v>70</v>
      </c>
      <c r="H125" s="176" t="s">
        <v>223</v>
      </c>
      <c r="I125" s="176" t="s">
        <v>743</v>
      </c>
      <c r="J125" s="176" t="s">
        <v>220</v>
      </c>
      <c r="K125" s="176" t="s">
        <v>264</v>
      </c>
      <c r="L125" s="177"/>
      <c r="M125" s="177"/>
      <c r="N125" s="177"/>
      <c r="O125" s="177"/>
      <c r="P125" s="182">
        <v>1.6</v>
      </c>
      <c r="Q125" s="182">
        <v>3.7</v>
      </c>
      <c r="R125" s="182">
        <v>3.2</v>
      </c>
      <c r="S125" s="182">
        <v>-4.7</v>
      </c>
      <c r="T125" s="182">
        <v>1.4</v>
      </c>
      <c r="U125" s="182">
        <v>2.8</v>
      </c>
      <c r="V125" s="182">
        <v>4.8</v>
      </c>
      <c r="W125" s="185" t="s">
        <v>775</v>
      </c>
      <c r="X125" s="177"/>
      <c r="Y125" s="177"/>
      <c r="Z125" s="177"/>
      <c r="AA125" s="177"/>
      <c r="AB125" s="189">
        <v>1.8</v>
      </c>
      <c r="AC125" s="177" t="s">
        <v>744</v>
      </c>
      <c r="AD125" s="177"/>
      <c r="AE125" s="181">
        <v>16.899999999999999</v>
      </c>
      <c r="AF125" s="177" t="s">
        <v>744</v>
      </c>
      <c r="AG125" s="183"/>
      <c r="AH125" s="183">
        <v>3.8</v>
      </c>
      <c r="AI125" s="183" t="s">
        <v>247</v>
      </c>
      <c r="AJ125" s="207">
        <v>4.5270000000000001</v>
      </c>
      <c r="AK125" s="176">
        <v>8</v>
      </c>
      <c r="AL125" s="176"/>
      <c r="AM125" s="182">
        <f>SUM(L125:AH125)</f>
        <v>35.299999999999997</v>
      </c>
      <c r="AN125" s="185" t="s">
        <v>223</v>
      </c>
      <c r="AO125" s="183" t="s">
        <v>999</v>
      </c>
      <c r="AP125" s="183" t="s">
        <v>545</v>
      </c>
      <c r="AQ125" s="186">
        <f t="shared" ref="AQ125:AQ132" si="9">AH125/AR125</f>
        <v>1.2666666666666666</v>
      </c>
      <c r="AR125" s="187">
        <v>3</v>
      </c>
    </row>
    <row r="126" spans="1:44">
      <c r="A126" s="176">
        <v>904</v>
      </c>
      <c r="B126" s="180"/>
      <c r="C126" s="176" t="s">
        <v>976</v>
      </c>
      <c r="D126" s="176" t="s">
        <v>217</v>
      </c>
      <c r="E126" s="176" t="s">
        <v>1062</v>
      </c>
      <c r="F126" s="176" t="s">
        <v>224</v>
      </c>
      <c r="G126" s="176" t="s">
        <v>12</v>
      </c>
      <c r="H126" s="176" t="s">
        <v>31</v>
      </c>
      <c r="I126" s="176" t="s">
        <v>743</v>
      </c>
      <c r="J126" s="176" t="s">
        <v>763</v>
      </c>
      <c r="K126" s="176" t="s">
        <v>293</v>
      </c>
      <c r="L126" s="177"/>
      <c r="M126" s="177"/>
      <c r="N126" s="177"/>
      <c r="O126" s="177"/>
      <c r="P126" s="177"/>
      <c r="Q126" s="182">
        <v>1.9</v>
      </c>
      <c r="R126" s="182">
        <v>-1.9</v>
      </c>
      <c r="S126" s="183" t="s">
        <v>754</v>
      </c>
      <c r="T126" s="183">
        <v>-4.4000000000000004</v>
      </c>
      <c r="U126" s="185" t="s">
        <v>754</v>
      </c>
      <c r="V126" s="183">
        <v>1.1000000000000001</v>
      </c>
      <c r="W126" s="185" t="s">
        <v>775</v>
      </c>
      <c r="X126" s="177"/>
      <c r="Y126" s="177"/>
      <c r="Z126" s="177"/>
      <c r="AA126" s="177"/>
      <c r="AB126" s="189">
        <v>3.6</v>
      </c>
      <c r="AC126" s="177" t="s">
        <v>744</v>
      </c>
      <c r="AD126" s="177"/>
      <c r="AE126" s="181">
        <v>16.5</v>
      </c>
      <c r="AF126" s="177" t="s">
        <v>744</v>
      </c>
      <c r="AG126" s="183"/>
      <c r="AH126" s="183">
        <v>-4.8</v>
      </c>
      <c r="AI126" s="183" t="s">
        <v>247</v>
      </c>
      <c r="AJ126" s="207">
        <v>17.433399999999999</v>
      </c>
      <c r="AK126" s="176">
        <v>8</v>
      </c>
      <c r="AL126" s="176" t="s">
        <v>978</v>
      </c>
      <c r="AM126" s="182">
        <f>SUM(L126:AH126)</f>
        <v>12</v>
      </c>
      <c r="AN126" s="185" t="s">
        <v>31</v>
      </c>
      <c r="AO126" s="183" t="s">
        <v>999</v>
      </c>
      <c r="AP126" s="183" t="s">
        <v>545</v>
      </c>
      <c r="AQ126" s="186">
        <f t="shared" si="9"/>
        <v>-1.5999999999999999</v>
      </c>
      <c r="AR126" s="187">
        <v>3</v>
      </c>
    </row>
    <row r="127" spans="1:44">
      <c r="A127" s="176">
        <v>905</v>
      </c>
      <c r="B127" s="180"/>
      <c r="C127" s="176" t="s">
        <v>979</v>
      </c>
      <c r="D127" s="176" t="s">
        <v>217</v>
      </c>
      <c r="E127" s="176" t="s">
        <v>225</v>
      </c>
      <c r="F127" s="176" t="s">
        <v>226</v>
      </c>
      <c r="G127" s="176" t="s">
        <v>12</v>
      </c>
      <c r="H127" s="176" t="s">
        <v>31</v>
      </c>
      <c r="I127" s="176" t="s">
        <v>743</v>
      </c>
      <c r="J127" s="176" t="s">
        <v>284</v>
      </c>
      <c r="K127" s="176" t="s">
        <v>293</v>
      </c>
      <c r="L127" s="177"/>
      <c r="M127" s="177"/>
      <c r="N127" s="177"/>
      <c r="O127" s="177"/>
      <c r="P127" s="177"/>
      <c r="Q127" s="182">
        <v>1.1000000000000001</v>
      </c>
      <c r="R127" s="182">
        <v>0.3</v>
      </c>
      <c r="S127" s="183" t="s">
        <v>754</v>
      </c>
      <c r="T127" s="183">
        <v>-4.3</v>
      </c>
      <c r="U127" s="185" t="s">
        <v>754</v>
      </c>
      <c r="V127" s="183">
        <v>-0.2</v>
      </c>
      <c r="W127" s="173"/>
      <c r="X127" s="177"/>
      <c r="Y127" s="177"/>
      <c r="Z127" s="177"/>
      <c r="AA127" s="177"/>
      <c r="AB127" s="189" t="s">
        <v>47</v>
      </c>
      <c r="AC127" s="177" t="s">
        <v>744</v>
      </c>
      <c r="AD127" s="177"/>
      <c r="AE127" s="181">
        <v>4.0999999999999996</v>
      </c>
      <c r="AF127" s="177" t="s">
        <v>744</v>
      </c>
      <c r="AG127" s="183"/>
      <c r="AH127" s="183">
        <v>-5.8</v>
      </c>
      <c r="AI127" s="183" t="s">
        <v>247</v>
      </c>
      <c r="AJ127" s="207">
        <v>15.0762</v>
      </c>
      <c r="AK127" s="176">
        <v>8</v>
      </c>
      <c r="AL127" s="176" t="s">
        <v>980</v>
      </c>
      <c r="AM127" s="182">
        <f>SUM(AE127:AH127)</f>
        <v>-1.7000000000000002</v>
      </c>
      <c r="AN127" s="185" t="s">
        <v>619</v>
      </c>
      <c r="AO127" s="183" t="s">
        <v>999</v>
      </c>
      <c r="AP127" s="183" t="s">
        <v>545</v>
      </c>
      <c r="AQ127" s="186">
        <f t="shared" si="9"/>
        <v>-1.9333333333333333</v>
      </c>
      <c r="AR127" s="187">
        <v>3</v>
      </c>
    </row>
    <row r="128" spans="1:44">
      <c r="A128" s="176">
        <v>906</v>
      </c>
      <c r="B128" s="180"/>
      <c r="C128" s="176" t="s">
        <v>981</v>
      </c>
      <c r="D128" s="176" t="s">
        <v>217</v>
      </c>
      <c r="E128" s="176" t="s">
        <v>227</v>
      </c>
      <c r="F128" s="176" t="s">
        <v>228</v>
      </c>
      <c r="G128" s="176" t="s">
        <v>12</v>
      </c>
      <c r="H128" s="176" t="s">
        <v>223</v>
      </c>
      <c r="I128" s="176" t="s">
        <v>743</v>
      </c>
      <c r="J128" s="176" t="s">
        <v>1063</v>
      </c>
      <c r="K128" s="176" t="s">
        <v>293</v>
      </c>
      <c r="L128" s="177"/>
      <c r="M128" s="177"/>
      <c r="N128" s="177"/>
      <c r="O128" s="177"/>
      <c r="P128" s="182">
        <v>0.3</v>
      </c>
      <c r="Q128" s="182">
        <v>0.5</v>
      </c>
      <c r="R128" s="182">
        <v>2</v>
      </c>
      <c r="S128" s="182">
        <v>-5.3</v>
      </c>
      <c r="T128" s="182">
        <v>1.5</v>
      </c>
      <c r="U128" s="182">
        <v>-0.3</v>
      </c>
      <c r="V128" s="182">
        <v>2.4</v>
      </c>
      <c r="W128" s="183" t="s">
        <v>775</v>
      </c>
      <c r="X128" s="177"/>
      <c r="Y128" s="177"/>
      <c r="Z128" s="177"/>
      <c r="AA128" s="177"/>
      <c r="AB128" s="189">
        <v>-0.4</v>
      </c>
      <c r="AC128" s="177" t="s">
        <v>744</v>
      </c>
      <c r="AD128" s="177"/>
      <c r="AE128" s="181">
        <v>5.3</v>
      </c>
      <c r="AF128" s="177" t="s">
        <v>744</v>
      </c>
      <c r="AG128" s="183"/>
      <c r="AH128" s="183">
        <v>-5.6</v>
      </c>
      <c r="AI128" s="183" t="s">
        <v>247</v>
      </c>
      <c r="AJ128" s="207">
        <v>11.271699999999999</v>
      </c>
      <c r="AK128" s="176">
        <v>8</v>
      </c>
      <c r="AL128" s="176"/>
      <c r="AM128" s="182">
        <f>SUM(L128:AH128)</f>
        <v>0.40000000000000036</v>
      </c>
      <c r="AN128" s="185" t="s">
        <v>223</v>
      </c>
      <c r="AO128" s="183" t="s">
        <v>999</v>
      </c>
      <c r="AP128" s="183" t="s">
        <v>545</v>
      </c>
      <c r="AQ128" s="186">
        <f t="shared" si="9"/>
        <v>-1.8666666666666665</v>
      </c>
      <c r="AR128" s="187">
        <v>3</v>
      </c>
    </row>
    <row r="129" spans="1:44">
      <c r="A129" s="176">
        <v>907</v>
      </c>
      <c r="B129" s="180"/>
      <c r="C129" s="176" t="s">
        <v>982</v>
      </c>
      <c r="D129" s="176" t="s">
        <v>217</v>
      </c>
      <c r="E129" s="176" t="s">
        <v>229</v>
      </c>
      <c r="F129" s="176" t="s">
        <v>230</v>
      </c>
      <c r="G129" s="176" t="s">
        <v>12</v>
      </c>
      <c r="H129" s="176" t="s">
        <v>10</v>
      </c>
      <c r="I129" s="176" t="s">
        <v>743</v>
      </c>
      <c r="J129" s="176" t="s">
        <v>1064</v>
      </c>
      <c r="K129" s="176" t="s">
        <v>293</v>
      </c>
      <c r="L129" s="177"/>
      <c r="M129" s="177"/>
      <c r="N129" s="182">
        <v>-10.8</v>
      </c>
      <c r="O129" s="182">
        <v>13.2</v>
      </c>
      <c r="P129" s="182">
        <v>-0.6</v>
      </c>
      <c r="Q129" s="182">
        <v>0.3</v>
      </c>
      <c r="R129" s="182">
        <v>0.6</v>
      </c>
      <c r="S129" s="182">
        <v>-2.7</v>
      </c>
      <c r="T129" s="182">
        <v>1.1000000000000001</v>
      </c>
      <c r="U129" s="182">
        <v>3.1</v>
      </c>
      <c r="V129" s="182">
        <v>3.1</v>
      </c>
      <c r="W129" s="183" t="s">
        <v>775</v>
      </c>
      <c r="X129" s="177"/>
      <c r="Y129" s="177"/>
      <c r="Z129" s="177"/>
      <c r="AA129" s="177"/>
      <c r="AB129" s="189">
        <v>1.8</v>
      </c>
      <c r="AC129" s="177" t="s">
        <v>744</v>
      </c>
      <c r="AD129" s="177"/>
      <c r="AE129" s="189">
        <v>7</v>
      </c>
      <c r="AF129" s="177" t="s">
        <v>744</v>
      </c>
      <c r="AG129" s="183"/>
      <c r="AH129" s="183">
        <v>-4.3</v>
      </c>
      <c r="AI129" s="183" t="s">
        <v>247</v>
      </c>
      <c r="AJ129" s="207">
        <v>25.476800000000001</v>
      </c>
      <c r="AK129" s="176">
        <v>8</v>
      </c>
      <c r="AL129" s="176"/>
      <c r="AM129" s="182">
        <f>SUM(L129:AH129)</f>
        <v>11.8</v>
      </c>
      <c r="AN129" s="185" t="s">
        <v>10</v>
      </c>
      <c r="AO129" s="183" t="s">
        <v>999</v>
      </c>
      <c r="AP129" s="183" t="s">
        <v>545</v>
      </c>
      <c r="AQ129" s="186">
        <f t="shared" si="9"/>
        <v>-1.4333333333333333</v>
      </c>
      <c r="AR129" s="187">
        <v>3</v>
      </c>
    </row>
    <row r="130" spans="1:44">
      <c r="A130" s="176">
        <v>908</v>
      </c>
      <c r="B130" s="180"/>
      <c r="C130" s="176" t="s">
        <v>983</v>
      </c>
      <c r="D130" s="176" t="s">
        <v>217</v>
      </c>
      <c r="E130" s="176" t="s">
        <v>1043</v>
      </c>
      <c r="F130" s="176" t="s">
        <v>231</v>
      </c>
      <c r="G130" s="176" t="s">
        <v>9</v>
      </c>
      <c r="H130" s="176" t="s">
        <v>10</v>
      </c>
      <c r="I130" s="176" t="s">
        <v>1051</v>
      </c>
      <c r="J130" s="176" t="s">
        <v>54</v>
      </c>
      <c r="K130" s="176" t="s">
        <v>264</v>
      </c>
      <c r="L130" s="177"/>
      <c r="M130" s="181"/>
      <c r="N130" s="183" t="s">
        <v>754</v>
      </c>
      <c r="O130" s="183">
        <v>12.3</v>
      </c>
      <c r="P130" s="182">
        <v>0.5</v>
      </c>
      <c r="Q130" s="182">
        <v>4.5999999999999996</v>
      </c>
      <c r="R130" s="182">
        <v>6</v>
      </c>
      <c r="S130" s="182">
        <v>-7.1</v>
      </c>
      <c r="T130" s="182">
        <v>1.1000000000000001</v>
      </c>
      <c r="U130" s="182">
        <v>2.6</v>
      </c>
      <c r="V130" s="182">
        <v>6.9</v>
      </c>
      <c r="W130" s="183" t="s">
        <v>775</v>
      </c>
      <c r="X130" s="177"/>
      <c r="Y130" s="177"/>
      <c r="Z130" s="177"/>
      <c r="AA130" s="177"/>
      <c r="AB130" s="189">
        <v>0.6</v>
      </c>
      <c r="AC130" s="177" t="s">
        <v>744</v>
      </c>
      <c r="AD130" s="177"/>
      <c r="AE130" s="181">
        <v>12.9</v>
      </c>
      <c r="AF130" s="177" t="s">
        <v>744</v>
      </c>
      <c r="AG130" s="183"/>
      <c r="AH130" s="183">
        <v>1.6</v>
      </c>
      <c r="AI130" s="183" t="s">
        <v>247</v>
      </c>
      <c r="AJ130" s="207">
        <v>5.1563999999999997</v>
      </c>
      <c r="AK130" s="176">
        <v>8</v>
      </c>
      <c r="AL130" s="176"/>
      <c r="AM130" s="182">
        <f>SUM(L130:AH130)</f>
        <v>42</v>
      </c>
      <c r="AN130" s="185" t="s">
        <v>10</v>
      </c>
      <c r="AO130" s="183" t="s">
        <v>999</v>
      </c>
      <c r="AP130" s="183" t="s">
        <v>545</v>
      </c>
      <c r="AQ130" s="186">
        <f t="shared" si="9"/>
        <v>0.53333333333333333</v>
      </c>
      <c r="AR130" s="187">
        <v>3</v>
      </c>
    </row>
    <row r="131" spans="1:44">
      <c r="A131" s="176">
        <v>909</v>
      </c>
      <c r="B131" s="180"/>
      <c r="C131" s="176" t="s">
        <v>985</v>
      </c>
      <c r="D131" s="176" t="s">
        <v>217</v>
      </c>
      <c r="E131" s="176" t="s">
        <v>232</v>
      </c>
      <c r="F131" s="176" t="s">
        <v>233</v>
      </c>
      <c r="G131" s="176" t="s">
        <v>12</v>
      </c>
      <c r="H131" s="176" t="s">
        <v>31</v>
      </c>
      <c r="I131" s="176" t="s">
        <v>743</v>
      </c>
      <c r="J131" s="176" t="s">
        <v>54</v>
      </c>
      <c r="K131" s="176" t="s">
        <v>264</v>
      </c>
      <c r="L131" s="177"/>
      <c r="M131" s="177"/>
      <c r="N131" s="177"/>
      <c r="O131" s="177"/>
      <c r="P131" s="177"/>
      <c r="Q131" s="182">
        <v>2.2999999999999998</v>
      </c>
      <c r="R131" s="182">
        <v>4.5999999999999996</v>
      </c>
      <c r="S131" s="182">
        <v>-6.6</v>
      </c>
      <c r="T131" s="182">
        <v>-0.1</v>
      </c>
      <c r="U131" s="182">
        <v>1.8</v>
      </c>
      <c r="V131" s="182">
        <v>6.7</v>
      </c>
      <c r="W131" s="183" t="s">
        <v>775</v>
      </c>
      <c r="X131" s="177"/>
      <c r="Y131" s="177"/>
      <c r="Z131" s="177"/>
      <c r="AA131" s="177"/>
      <c r="AB131" s="189">
        <v>0.7</v>
      </c>
      <c r="AC131" s="177" t="s">
        <v>744</v>
      </c>
      <c r="AD131" s="177"/>
      <c r="AE131" s="181">
        <v>12.2</v>
      </c>
      <c r="AF131" s="177" t="s">
        <v>744</v>
      </c>
      <c r="AG131" s="183"/>
      <c r="AH131" s="183">
        <v>3.8</v>
      </c>
      <c r="AI131" s="183" t="s">
        <v>247</v>
      </c>
      <c r="AJ131" s="207">
        <v>4.2488999999999999</v>
      </c>
      <c r="AK131" s="176">
        <v>8</v>
      </c>
      <c r="AL131" s="176"/>
      <c r="AM131" s="182">
        <f>SUM(L131:AH131)</f>
        <v>25.4</v>
      </c>
      <c r="AN131" s="185" t="s">
        <v>31</v>
      </c>
      <c r="AO131" s="183" t="s">
        <v>999</v>
      </c>
      <c r="AP131" s="183" t="s">
        <v>545</v>
      </c>
      <c r="AQ131" s="186">
        <f t="shared" si="9"/>
        <v>1.2666666666666666</v>
      </c>
      <c r="AR131" s="187">
        <v>3</v>
      </c>
    </row>
    <row r="132" spans="1:44">
      <c r="A132" s="176">
        <v>910</v>
      </c>
      <c r="B132" s="180"/>
      <c r="C132" s="176" t="s">
        <v>986</v>
      </c>
      <c r="D132" s="176" t="s">
        <v>217</v>
      </c>
      <c r="E132" s="176" t="s">
        <v>234</v>
      </c>
      <c r="F132" s="176" t="s">
        <v>235</v>
      </c>
      <c r="G132" s="176" t="s">
        <v>12</v>
      </c>
      <c r="H132" s="176" t="s">
        <v>10</v>
      </c>
      <c r="I132" s="176" t="s">
        <v>743</v>
      </c>
      <c r="J132" s="176" t="s">
        <v>284</v>
      </c>
      <c r="K132" s="176" t="s">
        <v>293</v>
      </c>
      <c r="L132" s="177"/>
      <c r="M132" s="177"/>
      <c r="N132" s="182">
        <v>-7.7</v>
      </c>
      <c r="O132" s="182">
        <v>12.2</v>
      </c>
      <c r="P132" s="182">
        <v>0.3</v>
      </c>
      <c r="Q132" s="182">
        <v>0.4</v>
      </c>
      <c r="R132" s="182">
        <v>0.5</v>
      </c>
      <c r="S132" s="182">
        <v>-3.5</v>
      </c>
      <c r="T132" s="182">
        <v>1.1000000000000001</v>
      </c>
      <c r="U132" s="182">
        <v>-1.5</v>
      </c>
      <c r="V132" s="182">
        <v>1.9</v>
      </c>
      <c r="W132" s="183" t="s">
        <v>775</v>
      </c>
      <c r="X132" s="177"/>
      <c r="Y132" s="177"/>
      <c r="Z132" s="177"/>
      <c r="AA132" s="177"/>
      <c r="AB132" s="189">
        <v>0.9</v>
      </c>
      <c r="AC132" s="177" t="s">
        <v>744</v>
      </c>
      <c r="AD132" s="177"/>
      <c r="AE132" s="181">
        <v>3.1</v>
      </c>
      <c r="AF132" s="177" t="s">
        <v>744</v>
      </c>
      <c r="AG132" s="183"/>
      <c r="AH132" s="183">
        <v>-4.8</v>
      </c>
      <c r="AI132" s="183" t="s">
        <v>247</v>
      </c>
      <c r="AJ132" s="207">
        <v>15.8865</v>
      </c>
      <c r="AK132" s="176">
        <v>8</v>
      </c>
      <c r="AL132" s="176"/>
      <c r="AM132" s="182">
        <f>SUM(L132:AH132)</f>
        <v>2.8999999999999995</v>
      </c>
      <c r="AN132" s="185" t="s">
        <v>10</v>
      </c>
      <c r="AO132" s="183" t="s">
        <v>999</v>
      </c>
      <c r="AP132" s="183" t="s">
        <v>545</v>
      </c>
      <c r="AQ132" s="186">
        <f t="shared" si="9"/>
        <v>-1.5999999999999999</v>
      </c>
      <c r="AR132" s="187">
        <v>3</v>
      </c>
    </row>
    <row r="133" spans="1:44">
      <c r="A133" s="176">
        <v>911</v>
      </c>
      <c r="B133" s="180"/>
      <c r="C133" s="176" t="s">
        <v>987</v>
      </c>
      <c r="D133" s="176" t="s">
        <v>217</v>
      </c>
      <c r="E133" s="176" t="s">
        <v>236</v>
      </c>
      <c r="F133" s="176" t="s">
        <v>237</v>
      </c>
      <c r="G133" s="176" t="s">
        <v>70</v>
      </c>
      <c r="H133" s="176" t="s">
        <v>10</v>
      </c>
      <c r="I133" s="176" t="s">
        <v>743</v>
      </c>
      <c r="J133" s="176" t="s">
        <v>54</v>
      </c>
      <c r="K133" s="176" t="s">
        <v>264</v>
      </c>
      <c r="L133" s="177"/>
      <c r="M133" s="177"/>
      <c r="N133" s="182">
        <v>44</v>
      </c>
      <c r="O133" s="182">
        <v>33.200000000000003</v>
      </c>
      <c r="P133" s="182">
        <v>22.1</v>
      </c>
      <c r="Q133" s="182">
        <v>41.5</v>
      </c>
      <c r="R133" s="182">
        <v>19.600000000000001</v>
      </c>
      <c r="S133" s="182">
        <v>-1</v>
      </c>
      <c r="T133" s="182" t="s">
        <v>770</v>
      </c>
      <c r="U133" s="183" t="s">
        <v>754</v>
      </c>
      <c r="V133" s="183">
        <v>97.6</v>
      </c>
      <c r="W133" s="185" t="s">
        <v>775</v>
      </c>
      <c r="X133" s="177"/>
      <c r="Y133" s="177"/>
      <c r="Z133" s="177"/>
      <c r="AA133" s="177"/>
      <c r="AB133" s="189">
        <v>108.3</v>
      </c>
      <c r="AC133" s="177" t="s">
        <v>744</v>
      </c>
      <c r="AD133" s="177"/>
      <c r="AE133" s="181" t="s">
        <v>770</v>
      </c>
      <c r="AF133" s="177" t="s">
        <v>744</v>
      </c>
      <c r="AG133" s="183"/>
      <c r="AH133" s="183">
        <v>48.3</v>
      </c>
      <c r="AI133" s="183" t="s">
        <v>247</v>
      </c>
      <c r="AJ133" s="207">
        <v>3.7839</v>
      </c>
      <c r="AK133" s="176">
        <v>8</v>
      </c>
      <c r="AL133" s="176" t="s">
        <v>988</v>
      </c>
      <c r="AM133" s="182">
        <f>SUM(AF133:AH133)</f>
        <v>48.3</v>
      </c>
      <c r="AN133" s="185" t="s">
        <v>622</v>
      </c>
      <c r="AO133" s="183" t="s">
        <v>999</v>
      </c>
      <c r="AP133" s="183" t="s">
        <v>545</v>
      </c>
      <c r="AQ133" s="186">
        <f>AH133/AR133</f>
        <v>16.099999999999998</v>
      </c>
      <c r="AR133" s="187">
        <v>3</v>
      </c>
    </row>
    <row r="134" spans="1:44">
      <c r="A134" s="176">
        <v>1001</v>
      </c>
      <c r="B134" s="180"/>
      <c r="C134" s="176" t="s">
        <v>927</v>
      </c>
      <c r="D134" s="176" t="s">
        <v>294</v>
      </c>
      <c r="E134" s="176" t="s">
        <v>173</v>
      </c>
      <c r="F134" s="176" t="s">
        <v>174</v>
      </c>
      <c r="G134" s="176" t="s">
        <v>9</v>
      </c>
      <c r="H134" s="176" t="s">
        <v>127</v>
      </c>
      <c r="I134" s="176" t="s">
        <v>743</v>
      </c>
      <c r="J134" s="176" t="s">
        <v>141</v>
      </c>
      <c r="K134" s="176" t="s">
        <v>270</v>
      </c>
      <c r="L134" s="177"/>
      <c r="M134" s="177"/>
      <c r="N134" s="177"/>
      <c r="O134" s="177"/>
      <c r="P134" s="177"/>
      <c r="Q134" s="177"/>
      <c r="R134" s="182">
        <v>16.100000000000001</v>
      </c>
      <c r="S134" s="183" t="s">
        <v>754</v>
      </c>
      <c r="T134" s="189">
        <v>17.899999999999999</v>
      </c>
      <c r="U134" s="183" t="s">
        <v>93</v>
      </c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83"/>
      <c r="AG134" s="183"/>
      <c r="AH134" s="183">
        <v>45.6</v>
      </c>
      <c r="AI134" s="183" t="s">
        <v>247</v>
      </c>
      <c r="AJ134" s="207">
        <v>35.1282</v>
      </c>
      <c r="AK134" s="176">
        <v>8</v>
      </c>
      <c r="AL134" s="176"/>
      <c r="AM134" s="182">
        <f>SUM(R134:AI134)</f>
        <v>79.599999999999994</v>
      </c>
      <c r="AN134" s="185" t="s">
        <v>1065</v>
      </c>
      <c r="AO134" s="183" t="s">
        <v>1066</v>
      </c>
      <c r="AP134" s="183" t="s">
        <v>1067</v>
      </c>
      <c r="AQ134" s="186">
        <f>AH134/AR134</f>
        <v>3.2571428571428571</v>
      </c>
      <c r="AR134" s="187">
        <v>14</v>
      </c>
    </row>
    <row r="135" spans="1:44">
      <c r="A135" s="176">
        <v>1002</v>
      </c>
      <c r="B135" s="180"/>
      <c r="C135" s="176" t="s">
        <v>928</v>
      </c>
      <c r="D135" s="176" t="s">
        <v>294</v>
      </c>
      <c r="E135" s="176" t="s">
        <v>175</v>
      </c>
      <c r="F135" s="176" t="s">
        <v>176</v>
      </c>
      <c r="G135" s="176" t="s">
        <v>9</v>
      </c>
      <c r="H135" s="176" t="s">
        <v>127</v>
      </c>
      <c r="I135" s="176" t="s">
        <v>743</v>
      </c>
      <c r="J135" s="176" t="s">
        <v>141</v>
      </c>
      <c r="K135" s="176" t="s">
        <v>1023</v>
      </c>
      <c r="L135" s="177"/>
      <c r="M135" s="177"/>
      <c r="N135" s="177"/>
      <c r="O135" s="177"/>
      <c r="P135" s="177"/>
      <c r="Q135" s="177"/>
      <c r="R135" s="182">
        <v>5.3</v>
      </c>
      <c r="S135" s="183" t="s">
        <v>177</v>
      </c>
      <c r="T135" s="177"/>
      <c r="U135" s="177"/>
      <c r="V135" s="177"/>
      <c r="W135" s="177"/>
      <c r="X135" s="177"/>
      <c r="Y135" s="177"/>
      <c r="Z135" s="177"/>
      <c r="AA135" s="177"/>
      <c r="AB135" s="183" t="s">
        <v>37</v>
      </c>
      <c r="AC135" s="173" t="s">
        <v>744</v>
      </c>
      <c r="AD135" s="177"/>
      <c r="AE135" s="183">
        <v>7</v>
      </c>
      <c r="AF135" s="185" t="s">
        <v>1039</v>
      </c>
      <c r="AG135" s="183"/>
      <c r="AH135" s="183">
        <v>6.9</v>
      </c>
      <c r="AI135" s="183" t="s">
        <v>247</v>
      </c>
      <c r="AJ135" s="207">
        <v>44.191699999999997</v>
      </c>
      <c r="AK135" s="176">
        <v>8</v>
      </c>
      <c r="AL135" s="176" t="s">
        <v>929</v>
      </c>
      <c r="AM135" s="182">
        <f>SUM(AB135:AH135)</f>
        <v>13.9</v>
      </c>
      <c r="AN135" s="185" t="s">
        <v>619</v>
      </c>
      <c r="AO135" s="183" t="s">
        <v>999</v>
      </c>
      <c r="AP135" s="183" t="s">
        <v>545</v>
      </c>
      <c r="AQ135" s="186">
        <f>AH135/AR135</f>
        <v>2.3000000000000003</v>
      </c>
      <c r="AR135" s="187">
        <v>3</v>
      </c>
    </row>
    <row r="136" spans="1:44">
      <c r="A136" s="176">
        <v>1003</v>
      </c>
      <c r="B136" s="180"/>
      <c r="C136" s="176" t="s">
        <v>930</v>
      </c>
      <c r="D136" s="176" t="s">
        <v>294</v>
      </c>
      <c r="E136" s="176" t="s">
        <v>178</v>
      </c>
      <c r="F136" s="176" t="s">
        <v>179</v>
      </c>
      <c r="G136" s="176" t="s">
        <v>9</v>
      </c>
      <c r="H136" s="176" t="s">
        <v>10</v>
      </c>
      <c r="I136" s="176" t="s">
        <v>743</v>
      </c>
      <c r="J136" s="176" t="s">
        <v>141</v>
      </c>
      <c r="K136" s="176" t="s">
        <v>1023</v>
      </c>
      <c r="L136" s="177"/>
      <c r="M136" s="181"/>
      <c r="N136" s="183" t="s">
        <v>744</v>
      </c>
      <c r="O136" s="177"/>
      <c r="P136" s="183">
        <v>8.4</v>
      </c>
      <c r="Q136" s="182">
        <v>1.1000000000000001</v>
      </c>
      <c r="R136" s="182">
        <v>6.4</v>
      </c>
      <c r="S136" s="183" t="s">
        <v>754</v>
      </c>
      <c r="T136" s="189">
        <v>2.6</v>
      </c>
      <c r="U136" s="183" t="s">
        <v>759</v>
      </c>
      <c r="V136" s="177"/>
      <c r="W136" s="177"/>
      <c r="X136" s="177"/>
      <c r="Y136" s="177"/>
      <c r="Z136" s="177"/>
      <c r="AA136" s="177"/>
      <c r="AB136" s="183">
        <v>17.3</v>
      </c>
      <c r="AC136" s="173" t="s">
        <v>744</v>
      </c>
      <c r="AD136" s="177"/>
      <c r="AE136" s="177">
        <v>-1.2</v>
      </c>
      <c r="AF136" s="173" t="s">
        <v>744</v>
      </c>
      <c r="AG136" s="183"/>
      <c r="AH136" s="183">
        <v>5.9</v>
      </c>
      <c r="AI136" s="183"/>
      <c r="AJ136" s="207">
        <v>32.185699999999997</v>
      </c>
      <c r="AK136" s="176">
        <v>8</v>
      </c>
      <c r="AL136" s="176"/>
      <c r="AM136" s="182">
        <f>SUM(L136:AH136)</f>
        <v>40.499999999999993</v>
      </c>
      <c r="AN136" s="185" t="s">
        <v>10</v>
      </c>
      <c r="AO136" s="183" t="s">
        <v>999</v>
      </c>
      <c r="AP136" s="183" t="s">
        <v>545</v>
      </c>
      <c r="AQ136" s="186">
        <f>AH136/AR136</f>
        <v>1.9666666666666668</v>
      </c>
      <c r="AR136" s="187">
        <v>3</v>
      </c>
    </row>
    <row r="137" spans="1:44">
      <c r="A137" s="208"/>
      <c r="B137" s="209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10"/>
      <c r="O137" s="208"/>
      <c r="P137" s="210"/>
      <c r="Q137" s="210"/>
      <c r="R137" s="210"/>
      <c r="S137" s="210"/>
      <c r="T137" s="210"/>
      <c r="U137" s="210"/>
      <c r="V137" s="208"/>
      <c r="W137" s="208"/>
      <c r="X137" s="208"/>
      <c r="Y137" s="208"/>
      <c r="Z137" s="208"/>
      <c r="AA137" s="208"/>
      <c r="AB137" s="210"/>
      <c r="AC137" s="208"/>
      <c r="AD137" s="208"/>
      <c r="AE137" s="208"/>
      <c r="AF137" s="208"/>
      <c r="AG137" s="210"/>
      <c r="AH137" s="210"/>
      <c r="AI137" s="210"/>
      <c r="AJ137" s="211"/>
      <c r="AK137" s="208"/>
      <c r="AL137" s="208"/>
      <c r="AM137" s="210"/>
      <c r="AN137" s="210"/>
      <c r="AO137" s="210"/>
      <c r="AP137" s="210"/>
      <c r="AQ137" s="212"/>
      <c r="AR137" s="213"/>
    </row>
  </sheetData>
  <phoneticPr fontId="1"/>
  <pageMargins left="0.75" right="0.75" top="1" bottom="1" header="0.51200000000000001" footer="0.51200000000000001"/>
  <pageSetup paperSize="8" orientation="landscape" horizontalDpi="400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37"/>
  <sheetViews>
    <sheetView topLeftCell="S1" workbookViewId="0">
      <selection activeCell="AR9" sqref="AR9:BU9"/>
    </sheetView>
  </sheetViews>
  <sheetFormatPr defaultRowHeight="13.5"/>
  <cols>
    <col min="1" max="1" width="4.625" bestFit="1" customWidth="1"/>
    <col min="2" max="2" width="6.125" style="194" bestFit="1" customWidth="1"/>
    <col min="3" max="3" width="9.25" bestFit="1" customWidth="1"/>
    <col min="4" max="4" width="4.5" bestFit="1" customWidth="1"/>
    <col min="5" max="5" width="17.875" customWidth="1"/>
    <col min="6" max="6" width="17.375" bestFit="1" customWidth="1"/>
    <col min="7" max="8" width="4.375" bestFit="1" customWidth="1"/>
    <col min="9" max="9" width="6" bestFit="1" customWidth="1"/>
    <col min="10" max="10" width="8.625" bestFit="1" customWidth="1"/>
    <col min="12" max="34" width="7.875" customWidth="1"/>
    <col min="35" max="35" width="8.125" bestFit="1" customWidth="1"/>
    <col min="36" max="36" width="7.625" bestFit="1" customWidth="1"/>
    <col min="37" max="37" width="29.5" bestFit="1" customWidth="1"/>
    <col min="38" max="38" width="9.25" bestFit="1" customWidth="1"/>
    <col min="39" max="39" width="3.625" customWidth="1"/>
    <col min="40" max="40" width="2.75" bestFit="1" customWidth="1"/>
    <col min="41" max="41" width="2.875" bestFit="1" customWidth="1"/>
    <col min="42" max="42" width="9" style="171"/>
    <col min="43" max="43" width="9" style="172"/>
    <col min="257" max="257" width="4.625" bestFit="1" customWidth="1"/>
    <col min="258" max="258" width="6.125" bestFit="1" customWidth="1"/>
    <col min="259" max="259" width="9.25" bestFit="1" customWidth="1"/>
    <col min="260" max="260" width="4.5" bestFit="1" customWidth="1"/>
    <col min="261" max="261" width="17.875" customWidth="1"/>
    <col min="262" max="262" width="17.375" bestFit="1" customWidth="1"/>
    <col min="263" max="264" width="4.375" bestFit="1" customWidth="1"/>
    <col min="265" max="265" width="6" bestFit="1" customWidth="1"/>
    <col min="266" max="266" width="8.625" bestFit="1" customWidth="1"/>
    <col min="268" max="290" width="7.875" customWidth="1"/>
    <col min="291" max="291" width="8.125" bestFit="1" customWidth="1"/>
    <col min="292" max="292" width="7.625" bestFit="1" customWidth="1"/>
    <col min="293" max="293" width="29.5" bestFit="1" customWidth="1"/>
    <col min="294" max="294" width="9.25" bestFit="1" customWidth="1"/>
    <col min="295" max="295" width="3.625" customWidth="1"/>
    <col min="296" max="296" width="2.75" bestFit="1" customWidth="1"/>
    <col min="297" max="297" width="2.875" bestFit="1" customWidth="1"/>
    <col min="513" max="513" width="4.625" bestFit="1" customWidth="1"/>
    <col min="514" max="514" width="6.125" bestFit="1" customWidth="1"/>
    <col min="515" max="515" width="9.25" bestFit="1" customWidth="1"/>
    <col min="516" max="516" width="4.5" bestFit="1" customWidth="1"/>
    <col min="517" max="517" width="17.875" customWidth="1"/>
    <col min="518" max="518" width="17.375" bestFit="1" customWidth="1"/>
    <col min="519" max="520" width="4.375" bestFit="1" customWidth="1"/>
    <col min="521" max="521" width="6" bestFit="1" customWidth="1"/>
    <col min="522" max="522" width="8.625" bestFit="1" customWidth="1"/>
    <col min="524" max="546" width="7.875" customWidth="1"/>
    <col min="547" max="547" width="8.125" bestFit="1" customWidth="1"/>
    <col min="548" max="548" width="7.625" bestFit="1" customWidth="1"/>
    <col min="549" max="549" width="29.5" bestFit="1" customWidth="1"/>
    <col min="550" max="550" width="9.25" bestFit="1" customWidth="1"/>
    <col min="551" max="551" width="3.625" customWidth="1"/>
    <col min="552" max="552" width="2.75" bestFit="1" customWidth="1"/>
    <col min="553" max="553" width="2.875" bestFit="1" customWidth="1"/>
    <col min="769" max="769" width="4.625" bestFit="1" customWidth="1"/>
    <col min="770" max="770" width="6.125" bestFit="1" customWidth="1"/>
    <col min="771" max="771" width="9.25" bestFit="1" customWidth="1"/>
    <col min="772" max="772" width="4.5" bestFit="1" customWidth="1"/>
    <col min="773" max="773" width="17.875" customWidth="1"/>
    <col min="774" max="774" width="17.375" bestFit="1" customWidth="1"/>
    <col min="775" max="776" width="4.375" bestFit="1" customWidth="1"/>
    <col min="777" max="777" width="6" bestFit="1" customWidth="1"/>
    <col min="778" max="778" width="8.625" bestFit="1" customWidth="1"/>
    <col min="780" max="802" width="7.875" customWidth="1"/>
    <col min="803" max="803" width="8.125" bestFit="1" customWidth="1"/>
    <col min="804" max="804" width="7.625" bestFit="1" customWidth="1"/>
    <col min="805" max="805" width="29.5" bestFit="1" customWidth="1"/>
    <col min="806" max="806" width="9.25" bestFit="1" customWidth="1"/>
    <col min="807" max="807" width="3.625" customWidth="1"/>
    <col min="808" max="808" width="2.75" bestFit="1" customWidth="1"/>
    <col min="809" max="809" width="2.875" bestFit="1" customWidth="1"/>
    <col min="1025" max="1025" width="4.625" bestFit="1" customWidth="1"/>
    <col min="1026" max="1026" width="6.125" bestFit="1" customWidth="1"/>
    <col min="1027" max="1027" width="9.25" bestFit="1" customWidth="1"/>
    <col min="1028" max="1028" width="4.5" bestFit="1" customWidth="1"/>
    <col min="1029" max="1029" width="17.875" customWidth="1"/>
    <col min="1030" max="1030" width="17.375" bestFit="1" customWidth="1"/>
    <col min="1031" max="1032" width="4.375" bestFit="1" customWidth="1"/>
    <col min="1033" max="1033" width="6" bestFit="1" customWidth="1"/>
    <col min="1034" max="1034" width="8.625" bestFit="1" customWidth="1"/>
    <col min="1036" max="1058" width="7.875" customWidth="1"/>
    <col min="1059" max="1059" width="8.125" bestFit="1" customWidth="1"/>
    <col min="1060" max="1060" width="7.625" bestFit="1" customWidth="1"/>
    <col min="1061" max="1061" width="29.5" bestFit="1" customWidth="1"/>
    <col min="1062" max="1062" width="9.25" bestFit="1" customWidth="1"/>
    <col min="1063" max="1063" width="3.625" customWidth="1"/>
    <col min="1064" max="1064" width="2.75" bestFit="1" customWidth="1"/>
    <col min="1065" max="1065" width="2.875" bestFit="1" customWidth="1"/>
    <col min="1281" max="1281" width="4.625" bestFit="1" customWidth="1"/>
    <col min="1282" max="1282" width="6.125" bestFit="1" customWidth="1"/>
    <col min="1283" max="1283" width="9.25" bestFit="1" customWidth="1"/>
    <col min="1284" max="1284" width="4.5" bestFit="1" customWidth="1"/>
    <col min="1285" max="1285" width="17.875" customWidth="1"/>
    <col min="1286" max="1286" width="17.375" bestFit="1" customWidth="1"/>
    <col min="1287" max="1288" width="4.375" bestFit="1" customWidth="1"/>
    <col min="1289" max="1289" width="6" bestFit="1" customWidth="1"/>
    <col min="1290" max="1290" width="8.625" bestFit="1" customWidth="1"/>
    <col min="1292" max="1314" width="7.875" customWidth="1"/>
    <col min="1315" max="1315" width="8.125" bestFit="1" customWidth="1"/>
    <col min="1316" max="1316" width="7.625" bestFit="1" customWidth="1"/>
    <col min="1317" max="1317" width="29.5" bestFit="1" customWidth="1"/>
    <col min="1318" max="1318" width="9.25" bestFit="1" customWidth="1"/>
    <col min="1319" max="1319" width="3.625" customWidth="1"/>
    <col min="1320" max="1320" width="2.75" bestFit="1" customWidth="1"/>
    <col min="1321" max="1321" width="2.875" bestFit="1" customWidth="1"/>
    <col min="1537" max="1537" width="4.625" bestFit="1" customWidth="1"/>
    <col min="1538" max="1538" width="6.125" bestFit="1" customWidth="1"/>
    <col min="1539" max="1539" width="9.25" bestFit="1" customWidth="1"/>
    <col min="1540" max="1540" width="4.5" bestFit="1" customWidth="1"/>
    <col min="1541" max="1541" width="17.875" customWidth="1"/>
    <col min="1542" max="1542" width="17.375" bestFit="1" customWidth="1"/>
    <col min="1543" max="1544" width="4.375" bestFit="1" customWidth="1"/>
    <col min="1545" max="1545" width="6" bestFit="1" customWidth="1"/>
    <col min="1546" max="1546" width="8.625" bestFit="1" customWidth="1"/>
    <col min="1548" max="1570" width="7.875" customWidth="1"/>
    <col min="1571" max="1571" width="8.125" bestFit="1" customWidth="1"/>
    <col min="1572" max="1572" width="7.625" bestFit="1" customWidth="1"/>
    <col min="1573" max="1573" width="29.5" bestFit="1" customWidth="1"/>
    <col min="1574" max="1574" width="9.25" bestFit="1" customWidth="1"/>
    <col min="1575" max="1575" width="3.625" customWidth="1"/>
    <col min="1576" max="1576" width="2.75" bestFit="1" customWidth="1"/>
    <col min="1577" max="1577" width="2.875" bestFit="1" customWidth="1"/>
    <col min="1793" max="1793" width="4.625" bestFit="1" customWidth="1"/>
    <col min="1794" max="1794" width="6.125" bestFit="1" customWidth="1"/>
    <col min="1795" max="1795" width="9.25" bestFit="1" customWidth="1"/>
    <col min="1796" max="1796" width="4.5" bestFit="1" customWidth="1"/>
    <col min="1797" max="1797" width="17.875" customWidth="1"/>
    <col min="1798" max="1798" width="17.375" bestFit="1" customWidth="1"/>
    <col min="1799" max="1800" width="4.375" bestFit="1" customWidth="1"/>
    <col min="1801" max="1801" width="6" bestFit="1" customWidth="1"/>
    <col min="1802" max="1802" width="8.625" bestFit="1" customWidth="1"/>
    <col min="1804" max="1826" width="7.875" customWidth="1"/>
    <col min="1827" max="1827" width="8.125" bestFit="1" customWidth="1"/>
    <col min="1828" max="1828" width="7.625" bestFit="1" customWidth="1"/>
    <col min="1829" max="1829" width="29.5" bestFit="1" customWidth="1"/>
    <col min="1830" max="1830" width="9.25" bestFit="1" customWidth="1"/>
    <col min="1831" max="1831" width="3.625" customWidth="1"/>
    <col min="1832" max="1832" width="2.75" bestFit="1" customWidth="1"/>
    <col min="1833" max="1833" width="2.875" bestFit="1" customWidth="1"/>
    <col min="2049" max="2049" width="4.625" bestFit="1" customWidth="1"/>
    <col min="2050" max="2050" width="6.125" bestFit="1" customWidth="1"/>
    <col min="2051" max="2051" width="9.25" bestFit="1" customWidth="1"/>
    <col min="2052" max="2052" width="4.5" bestFit="1" customWidth="1"/>
    <col min="2053" max="2053" width="17.875" customWidth="1"/>
    <col min="2054" max="2054" width="17.375" bestFit="1" customWidth="1"/>
    <col min="2055" max="2056" width="4.375" bestFit="1" customWidth="1"/>
    <col min="2057" max="2057" width="6" bestFit="1" customWidth="1"/>
    <col min="2058" max="2058" width="8.625" bestFit="1" customWidth="1"/>
    <col min="2060" max="2082" width="7.875" customWidth="1"/>
    <col min="2083" max="2083" width="8.125" bestFit="1" customWidth="1"/>
    <col min="2084" max="2084" width="7.625" bestFit="1" customWidth="1"/>
    <col min="2085" max="2085" width="29.5" bestFit="1" customWidth="1"/>
    <col min="2086" max="2086" width="9.25" bestFit="1" customWidth="1"/>
    <col min="2087" max="2087" width="3.625" customWidth="1"/>
    <col min="2088" max="2088" width="2.75" bestFit="1" customWidth="1"/>
    <col min="2089" max="2089" width="2.875" bestFit="1" customWidth="1"/>
    <col min="2305" max="2305" width="4.625" bestFit="1" customWidth="1"/>
    <col min="2306" max="2306" width="6.125" bestFit="1" customWidth="1"/>
    <col min="2307" max="2307" width="9.25" bestFit="1" customWidth="1"/>
    <col min="2308" max="2308" width="4.5" bestFit="1" customWidth="1"/>
    <col min="2309" max="2309" width="17.875" customWidth="1"/>
    <col min="2310" max="2310" width="17.375" bestFit="1" customWidth="1"/>
    <col min="2311" max="2312" width="4.375" bestFit="1" customWidth="1"/>
    <col min="2313" max="2313" width="6" bestFit="1" customWidth="1"/>
    <col min="2314" max="2314" width="8.625" bestFit="1" customWidth="1"/>
    <col min="2316" max="2338" width="7.875" customWidth="1"/>
    <col min="2339" max="2339" width="8.125" bestFit="1" customWidth="1"/>
    <col min="2340" max="2340" width="7.625" bestFit="1" customWidth="1"/>
    <col min="2341" max="2341" width="29.5" bestFit="1" customWidth="1"/>
    <col min="2342" max="2342" width="9.25" bestFit="1" customWidth="1"/>
    <col min="2343" max="2343" width="3.625" customWidth="1"/>
    <col min="2344" max="2344" width="2.75" bestFit="1" customWidth="1"/>
    <col min="2345" max="2345" width="2.875" bestFit="1" customWidth="1"/>
    <col min="2561" max="2561" width="4.625" bestFit="1" customWidth="1"/>
    <col min="2562" max="2562" width="6.125" bestFit="1" customWidth="1"/>
    <col min="2563" max="2563" width="9.25" bestFit="1" customWidth="1"/>
    <col min="2564" max="2564" width="4.5" bestFit="1" customWidth="1"/>
    <col min="2565" max="2565" width="17.875" customWidth="1"/>
    <col min="2566" max="2566" width="17.375" bestFit="1" customWidth="1"/>
    <col min="2567" max="2568" width="4.375" bestFit="1" customWidth="1"/>
    <col min="2569" max="2569" width="6" bestFit="1" customWidth="1"/>
    <col min="2570" max="2570" width="8.625" bestFit="1" customWidth="1"/>
    <col min="2572" max="2594" width="7.875" customWidth="1"/>
    <col min="2595" max="2595" width="8.125" bestFit="1" customWidth="1"/>
    <col min="2596" max="2596" width="7.625" bestFit="1" customWidth="1"/>
    <col min="2597" max="2597" width="29.5" bestFit="1" customWidth="1"/>
    <col min="2598" max="2598" width="9.25" bestFit="1" customWidth="1"/>
    <col min="2599" max="2599" width="3.625" customWidth="1"/>
    <col min="2600" max="2600" width="2.75" bestFit="1" customWidth="1"/>
    <col min="2601" max="2601" width="2.875" bestFit="1" customWidth="1"/>
    <col min="2817" max="2817" width="4.625" bestFit="1" customWidth="1"/>
    <col min="2818" max="2818" width="6.125" bestFit="1" customWidth="1"/>
    <col min="2819" max="2819" width="9.25" bestFit="1" customWidth="1"/>
    <col min="2820" max="2820" width="4.5" bestFit="1" customWidth="1"/>
    <col min="2821" max="2821" width="17.875" customWidth="1"/>
    <col min="2822" max="2822" width="17.375" bestFit="1" customWidth="1"/>
    <col min="2823" max="2824" width="4.375" bestFit="1" customWidth="1"/>
    <col min="2825" max="2825" width="6" bestFit="1" customWidth="1"/>
    <col min="2826" max="2826" width="8.625" bestFit="1" customWidth="1"/>
    <col min="2828" max="2850" width="7.875" customWidth="1"/>
    <col min="2851" max="2851" width="8.125" bestFit="1" customWidth="1"/>
    <col min="2852" max="2852" width="7.625" bestFit="1" customWidth="1"/>
    <col min="2853" max="2853" width="29.5" bestFit="1" customWidth="1"/>
    <col min="2854" max="2854" width="9.25" bestFit="1" customWidth="1"/>
    <col min="2855" max="2855" width="3.625" customWidth="1"/>
    <col min="2856" max="2856" width="2.75" bestFit="1" customWidth="1"/>
    <col min="2857" max="2857" width="2.875" bestFit="1" customWidth="1"/>
    <col min="3073" max="3073" width="4.625" bestFit="1" customWidth="1"/>
    <col min="3074" max="3074" width="6.125" bestFit="1" customWidth="1"/>
    <col min="3075" max="3075" width="9.25" bestFit="1" customWidth="1"/>
    <col min="3076" max="3076" width="4.5" bestFit="1" customWidth="1"/>
    <col min="3077" max="3077" width="17.875" customWidth="1"/>
    <col min="3078" max="3078" width="17.375" bestFit="1" customWidth="1"/>
    <col min="3079" max="3080" width="4.375" bestFit="1" customWidth="1"/>
    <col min="3081" max="3081" width="6" bestFit="1" customWidth="1"/>
    <col min="3082" max="3082" width="8.625" bestFit="1" customWidth="1"/>
    <col min="3084" max="3106" width="7.875" customWidth="1"/>
    <col min="3107" max="3107" width="8.125" bestFit="1" customWidth="1"/>
    <col min="3108" max="3108" width="7.625" bestFit="1" customWidth="1"/>
    <col min="3109" max="3109" width="29.5" bestFit="1" customWidth="1"/>
    <col min="3110" max="3110" width="9.25" bestFit="1" customWidth="1"/>
    <col min="3111" max="3111" width="3.625" customWidth="1"/>
    <col min="3112" max="3112" width="2.75" bestFit="1" customWidth="1"/>
    <col min="3113" max="3113" width="2.875" bestFit="1" customWidth="1"/>
    <col min="3329" max="3329" width="4.625" bestFit="1" customWidth="1"/>
    <col min="3330" max="3330" width="6.125" bestFit="1" customWidth="1"/>
    <col min="3331" max="3331" width="9.25" bestFit="1" customWidth="1"/>
    <col min="3332" max="3332" width="4.5" bestFit="1" customWidth="1"/>
    <col min="3333" max="3333" width="17.875" customWidth="1"/>
    <col min="3334" max="3334" width="17.375" bestFit="1" customWidth="1"/>
    <col min="3335" max="3336" width="4.375" bestFit="1" customWidth="1"/>
    <col min="3337" max="3337" width="6" bestFit="1" customWidth="1"/>
    <col min="3338" max="3338" width="8.625" bestFit="1" customWidth="1"/>
    <col min="3340" max="3362" width="7.875" customWidth="1"/>
    <col min="3363" max="3363" width="8.125" bestFit="1" customWidth="1"/>
    <col min="3364" max="3364" width="7.625" bestFit="1" customWidth="1"/>
    <col min="3365" max="3365" width="29.5" bestFit="1" customWidth="1"/>
    <col min="3366" max="3366" width="9.25" bestFit="1" customWidth="1"/>
    <col min="3367" max="3367" width="3.625" customWidth="1"/>
    <col min="3368" max="3368" width="2.75" bestFit="1" customWidth="1"/>
    <col min="3369" max="3369" width="2.875" bestFit="1" customWidth="1"/>
    <col min="3585" max="3585" width="4.625" bestFit="1" customWidth="1"/>
    <col min="3586" max="3586" width="6.125" bestFit="1" customWidth="1"/>
    <col min="3587" max="3587" width="9.25" bestFit="1" customWidth="1"/>
    <col min="3588" max="3588" width="4.5" bestFit="1" customWidth="1"/>
    <col min="3589" max="3589" width="17.875" customWidth="1"/>
    <col min="3590" max="3590" width="17.375" bestFit="1" customWidth="1"/>
    <col min="3591" max="3592" width="4.375" bestFit="1" customWidth="1"/>
    <col min="3593" max="3593" width="6" bestFit="1" customWidth="1"/>
    <col min="3594" max="3594" width="8.625" bestFit="1" customWidth="1"/>
    <col min="3596" max="3618" width="7.875" customWidth="1"/>
    <col min="3619" max="3619" width="8.125" bestFit="1" customWidth="1"/>
    <col min="3620" max="3620" width="7.625" bestFit="1" customWidth="1"/>
    <col min="3621" max="3621" width="29.5" bestFit="1" customWidth="1"/>
    <col min="3622" max="3622" width="9.25" bestFit="1" customWidth="1"/>
    <col min="3623" max="3623" width="3.625" customWidth="1"/>
    <col min="3624" max="3624" width="2.75" bestFit="1" customWidth="1"/>
    <col min="3625" max="3625" width="2.875" bestFit="1" customWidth="1"/>
    <col min="3841" max="3841" width="4.625" bestFit="1" customWidth="1"/>
    <col min="3842" max="3842" width="6.125" bestFit="1" customWidth="1"/>
    <col min="3843" max="3843" width="9.25" bestFit="1" customWidth="1"/>
    <col min="3844" max="3844" width="4.5" bestFit="1" customWidth="1"/>
    <col min="3845" max="3845" width="17.875" customWidth="1"/>
    <col min="3846" max="3846" width="17.375" bestFit="1" customWidth="1"/>
    <col min="3847" max="3848" width="4.375" bestFit="1" customWidth="1"/>
    <col min="3849" max="3849" width="6" bestFit="1" customWidth="1"/>
    <col min="3850" max="3850" width="8.625" bestFit="1" customWidth="1"/>
    <col min="3852" max="3874" width="7.875" customWidth="1"/>
    <col min="3875" max="3875" width="8.125" bestFit="1" customWidth="1"/>
    <col min="3876" max="3876" width="7.625" bestFit="1" customWidth="1"/>
    <col min="3877" max="3877" width="29.5" bestFit="1" customWidth="1"/>
    <col min="3878" max="3878" width="9.25" bestFit="1" customWidth="1"/>
    <col min="3879" max="3879" width="3.625" customWidth="1"/>
    <col min="3880" max="3880" width="2.75" bestFit="1" customWidth="1"/>
    <col min="3881" max="3881" width="2.875" bestFit="1" customWidth="1"/>
    <col min="4097" max="4097" width="4.625" bestFit="1" customWidth="1"/>
    <col min="4098" max="4098" width="6.125" bestFit="1" customWidth="1"/>
    <col min="4099" max="4099" width="9.25" bestFit="1" customWidth="1"/>
    <col min="4100" max="4100" width="4.5" bestFit="1" customWidth="1"/>
    <col min="4101" max="4101" width="17.875" customWidth="1"/>
    <col min="4102" max="4102" width="17.375" bestFit="1" customWidth="1"/>
    <col min="4103" max="4104" width="4.375" bestFit="1" customWidth="1"/>
    <col min="4105" max="4105" width="6" bestFit="1" customWidth="1"/>
    <col min="4106" max="4106" width="8.625" bestFit="1" customWidth="1"/>
    <col min="4108" max="4130" width="7.875" customWidth="1"/>
    <col min="4131" max="4131" width="8.125" bestFit="1" customWidth="1"/>
    <col min="4132" max="4132" width="7.625" bestFit="1" customWidth="1"/>
    <col min="4133" max="4133" width="29.5" bestFit="1" customWidth="1"/>
    <col min="4134" max="4134" width="9.25" bestFit="1" customWidth="1"/>
    <col min="4135" max="4135" width="3.625" customWidth="1"/>
    <col min="4136" max="4136" width="2.75" bestFit="1" customWidth="1"/>
    <col min="4137" max="4137" width="2.875" bestFit="1" customWidth="1"/>
    <col min="4353" max="4353" width="4.625" bestFit="1" customWidth="1"/>
    <col min="4354" max="4354" width="6.125" bestFit="1" customWidth="1"/>
    <col min="4355" max="4355" width="9.25" bestFit="1" customWidth="1"/>
    <col min="4356" max="4356" width="4.5" bestFit="1" customWidth="1"/>
    <col min="4357" max="4357" width="17.875" customWidth="1"/>
    <col min="4358" max="4358" width="17.375" bestFit="1" customWidth="1"/>
    <col min="4359" max="4360" width="4.375" bestFit="1" customWidth="1"/>
    <col min="4361" max="4361" width="6" bestFit="1" customWidth="1"/>
    <col min="4362" max="4362" width="8.625" bestFit="1" customWidth="1"/>
    <col min="4364" max="4386" width="7.875" customWidth="1"/>
    <col min="4387" max="4387" width="8.125" bestFit="1" customWidth="1"/>
    <col min="4388" max="4388" width="7.625" bestFit="1" customWidth="1"/>
    <col min="4389" max="4389" width="29.5" bestFit="1" customWidth="1"/>
    <col min="4390" max="4390" width="9.25" bestFit="1" customWidth="1"/>
    <col min="4391" max="4391" width="3.625" customWidth="1"/>
    <col min="4392" max="4392" width="2.75" bestFit="1" customWidth="1"/>
    <col min="4393" max="4393" width="2.875" bestFit="1" customWidth="1"/>
    <col min="4609" max="4609" width="4.625" bestFit="1" customWidth="1"/>
    <col min="4610" max="4610" width="6.125" bestFit="1" customWidth="1"/>
    <col min="4611" max="4611" width="9.25" bestFit="1" customWidth="1"/>
    <col min="4612" max="4612" width="4.5" bestFit="1" customWidth="1"/>
    <col min="4613" max="4613" width="17.875" customWidth="1"/>
    <col min="4614" max="4614" width="17.375" bestFit="1" customWidth="1"/>
    <col min="4615" max="4616" width="4.375" bestFit="1" customWidth="1"/>
    <col min="4617" max="4617" width="6" bestFit="1" customWidth="1"/>
    <col min="4618" max="4618" width="8.625" bestFit="1" customWidth="1"/>
    <col min="4620" max="4642" width="7.875" customWidth="1"/>
    <col min="4643" max="4643" width="8.125" bestFit="1" customWidth="1"/>
    <col min="4644" max="4644" width="7.625" bestFit="1" customWidth="1"/>
    <col min="4645" max="4645" width="29.5" bestFit="1" customWidth="1"/>
    <col min="4646" max="4646" width="9.25" bestFit="1" customWidth="1"/>
    <col min="4647" max="4647" width="3.625" customWidth="1"/>
    <col min="4648" max="4648" width="2.75" bestFit="1" customWidth="1"/>
    <col min="4649" max="4649" width="2.875" bestFit="1" customWidth="1"/>
    <col min="4865" max="4865" width="4.625" bestFit="1" customWidth="1"/>
    <col min="4866" max="4866" width="6.125" bestFit="1" customWidth="1"/>
    <col min="4867" max="4867" width="9.25" bestFit="1" customWidth="1"/>
    <col min="4868" max="4868" width="4.5" bestFit="1" customWidth="1"/>
    <col min="4869" max="4869" width="17.875" customWidth="1"/>
    <col min="4870" max="4870" width="17.375" bestFit="1" customWidth="1"/>
    <col min="4871" max="4872" width="4.375" bestFit="1" customWidth="1"/>
    <col min="4873" max="4873" width="6" bestFit="1" customWidth="1"/>
    <col min="4874" max="4874" width="8.625" bestFit="1" customWidth="1"/>
    <col min="4876" max="4898" width="7.875" customWidth="1"/>
    <col min="4899" max="4899" width="8.125" bestFit="1" customWidth="1"/>
    <col min="4900" max="4900" width="7.625" bestFit="1" customWidth="1"/>
    <col min="4901" max="4901" width="29.5" bestFit="1" customWidth="1"/>
    <col min="4902" max="4902" width="9.25" bestFit="1" customWidth="1"/>
    <col min="4903" max="4903" width="3.625" customWidth="1"/>
    <col min="4904" max="4904" width="2.75" bestFit="1" customWidth="1"/>
    <col min="4905" max="4905" width="2.875" bestFit="1" customWidth="1"/>
    <col min="5121" max="5121" width="4.625" bestFit="1" customWidth="1"/>
    <col min="5122" max="5122" width="6.125" bestFit="1" customWidth="1"/>
    <col min="5123" max="5123" width="9.25" bestFit="1" customWidth="1"/>
    <col min="5124" max="5124" width="4.5" bestFit="1" customWidth="1"/>
    <col min="5125" max="5125" width="17.875" customWidth="1"/>
    <col min="5126" max="5126" width="17.375" bestFit="1" customWidth="1"/>
    <col min="5127" max="5128" width="4.375" bestFit="1" customWidth="1"/>
    <col min="5129" max="5129" width="6" bestFit="1" customWidth="1"/>
    <col min="5130" max="5130" width="8.625" bestFit="1" customWidth="1"/>
    <col min="5132" max="5154" width="7.875" customWidth="1"/>
    <col min="5155" max="5155" width="8.125" bestFit="1" customWidth="1"/>
    <col min="5156" max="5156" width="7.625" bestFit="1" customWidth="1"/>
    <col min="5157" max="5157" width="29.5" bestFit="1" customWidth="1"/>
    <col min="5158" max="5158" width="9.25" bestFit="1" customWidth="1"/>
    <col min="5159" max="5159" width="3.625" customWidth="1"/>
    <col min="5160" max="5160" width="2.75" bestFit="1" customWidth="1"/>
    <col min="5161" max="5161" width="2.875" bestFit="1" customWidth="1"/>
    <col min="5377" max="5377" width="4.625" bestFit="1" customWidth="1"/>
    <col min="5378" max="5378" width="6.125" bestFit="1" customWidth="1"/>
    <col min="5379" max="5379" width="9.25" bestFit="1" customWidth="1"/>
    <col min="5380" max="5380" width="4.5" bestFit="1" customWidth="1"/>
    <col min="5381" max="5381" width="17.875" customWidth="1"/>
    <col min="5382" max="5382" width="17.375" bestFit="1" customWidth="1"/>
    <col min="5383" max="5384" width="4.375" bestFit="1" customWidth="1"/>
    <col min="5385" max="5385" width="6" bestFit="1" customWidth="1"/>
    <col min="5386" max="5386" width="8.625" bestFit="1" customWidth="1"/>
    <col min="5388" max="5410" width="7.875" customWidth="1"/>
    <col min="5411" max="5411" width="8.125" bestFit="1" customWidth="1"/>
    <col min="5412" max="5412" width="7.625" bestFit="1" customWidth="1"/>
    <col min="5413" max="5413" width="29.5" bestFit="1" customWidth="1"/>
    <col min="5414" max="5414" width="9.25" bestFit="1" customWidth="1"/>
    <col min="5415" max="5415" width="3.625" customWidth="1"/>
    <col min="5416" max="5416" width="2.75" bestFit="1" customWidth="1"/>
    <col min="5417" max="5417" width="2.875" bestFit="1" customWidth="1"/>
    <col min="5633" max="5633" width="4.625" bestFit="1" customWidth="1"/>
    <col min="5634" max="5634" width="6.125" bestFit="1" customWidth="1"/>
    <col min="5635" max="5635" width="9.25" bestFit="1" customWidth="1"/>
    <col min="5636" max="5636" width="4.5" bestFit="1" customWidth="1"/>
    <col min="5637" max="5637" width="17.875" customWidth="1"/>
    <col min="5638" max="5638" width="17.375" bestFit="1" customWidth="1"/>
    <col min="5639" max="5640" width="4.375" bestFit="1" customWidth="1"/>
    <col min="5641" max="5641" width="6" bestFit="1" customWidth="1"/>
    <col min="5642" max="5642" width="8.625" bestFit="1" customWidth="1"/>
    <col min="5644" max="5666" width="7.875" customWidth="1"/>
    <col min="5667" max="5667" width="8.125" bestFit="1" customWidth="1"/>
    <col min="5668" max="5668" width="7.625" bestFit="1" customWidth="1"/>
    <col min="5669" max="5669" width="29.5" bestFit="1" customWidth="1"/>
    <col min="5670" max="5670" width="9.25" bestFit="1" customWidth="1"/>
    <col min="5671" max="5671" width="3.625" customWidth="1"/>
    <col min="5672" max="5672" width="2.75" bestFit="1" customWidth="1"/>
    <col min="5673" max="5673" width="2.875" bestFit="1" customWidth="1"/>
    <col min="5889" max="5889" width="4.625" bestFit="1" customWidth="1"/>
    <col min="5890" max="5890" width="6.125" bestFit="1" customWidth="1"/>
    <col min="5891" max="5891" width="9.25" bestFit="1" customWidth="1"/>
    <col min="5892" max="5892" width="4.5" bestFit="1" customWidth="1"/>
    <col min="5893" max="5893" width="17.875" customWidth="1"/>
    <col min="5894" max="5894" width="17.375" bestFit="1" customWidth="1"/>
    <col min="5895" max="5896" width="4.375" bestFit="1" customWidth="1"/>
    <col min="5897" max="5897" width="6" bestFit="1" customWidth="1"/>
    <col min="5898" max="5898" width="8.625" bestFit="1" customWidth="1"/>
    <col min="5900" max="5922" width="7.875" customWidth="1"/>
    <col min="5923" max="5923" width="8.125" bestFit="1" customWidth="1"/>
    <col min="5924" max="5924" width="7.625" bestFit="1" customWidth="1"/>
    <col min="5925" max="5925" width="29.5" bestFit="1" customWidth="1"/>
    <col min="5926" max="5926" width="9.25" bestFit="1" customWidth="1"/>
    <col min="5927" max="5927" width="3.625" customWidth="1"/>
    <col min="5928" max="5928" width="2.75" bestFit="1" customWidth="1"/>
    <col min="5929" max="5929" width="2.875" bestFit="1" customWidth="1"/>
    <col min="6145" max="6145" width="4.625" bestFit="1" customWidth="1"/>
    <col min="6146" max="6146" width="6.125" bestFit="1" customWidth="1"/>
    <col min="6147" max="6147" width="9.25" bestFit="1" customWidth="1"/>
    <col min="6148" max="6148" width="4.5" bestFit="1" customWidth="1"/>
    <col min="6149" max="6149" width="17.875" customWidth="1"/>
    <col min="6150" max="6150" width="17.375" bestFit="1" customWidth="1"/>
    <col min="6151" max="6152" width="4.375" bestFit="1" customWidth="1"/>
    <col min="6153" max="6153" width="6" bestFit="1" customWidth="1"/>
    <col min="6154" max="6154" width="8.625" bestFit="1" customWidth="1"/>
    <col min="6156" max="6178" width="7.875" customWidth="1"/>
    <col min="6179" max="6179" width="8.125" bestFit="1" customWidth="1"/>
    <col min="6180" max="6180" width="7.625" bestFit="1" customWidth="1"/>
    <col min="6181" max="6181" width="29.5" bestFit="1" customWidth="1"/>
    <col min="6182" max="6182" width="9.25" bestFit="1" customWidth="1"/>
    <col min="6183" max="6183" width="3.625" customWidth="1"/>
    <col min="6184" max="6184" width="2.75" bestFit="1" customWidth="1"/>
    <col min="6185" max="6185" width="2.875" bestFit="1" customWidth="1"/>
    <col min="6401" max="6401" width="4.625" bestFit="1" customWidth="1"/>
    <col min="6402" max="6402" width="6.125" bestFit="1" customWidth="1"/>
    <col min="6403" max="6403" width="9.25" bestFit="1" customWidth="1"/>
    <col min="6404" max="6404" width="4.5" bestFit="1" customWidth="1"/>
    <col min="6405" max="6405" width="17.875" customWidth="1"/>
    <col min="6406" max="6406" width="17.375" bestFit="1" customWidth="1"/>
    <col min="6407" max="6408" width="4.375" bestFit="1" customWidth="1"/>
    <col min="6409" max="6409" width="6" bestFit="1" customWidth="1"/>
    <col min="6410" max="6410" width="8.625" bestFit="1" customWidth="1"/>
    <col min="6412" max="6434" width="7.875" customWidth="1"/>
    <col min="6435" max="6435" width="8.125" bestFit="1" customWidth="1"/>
    <col min="6436" max="6436" width="7.625" bestFit="1" customWidth="1"/>
    <col min="6437" max="6437" width="29.5" bestFit="1" customWidth="1"/>
    <col min="6438" max="6438" width="9.25" bestFit="1" customWidth="1"/>
    <col min="6439" max="6439" width="3.625" customWidth="1"/>
    <col min="6440" max="6440" width="2.75" bestFit="1" customWidth="1"/>
    <col min="6441" max="6441" width="2.875" bestFit="1" customWidth="1"/>
    <col min="6657" max="6657" width="4.625" bestFit="1" customWidth="1"/>
    <col min="6658" max="6658" width="6.125" bestFit="1" customWidth="1"/>
    <col min="6659" max="6659" width="9.25" bestFit="1" customWidth="1"/>
    <col min="6660" max="6660" width="4.5" bestFit="1" customWidth="1"/>
    <col min="6661" max="6661" width="17.875" customWidth="1"/>
    <col min="6662" max="6662" width="17.375" bestFit="1" customWidth="1"/>
    <col min="6663" max="6664" width="4.375" bestFit="1" customWidth="1"/>
    <col min="6665" max="6665" width="6" bestFit="1" customWidth="1"/>
    <col min="6666" max="6666" width="8.625" bestFit="1" customWidth="1"/>
    <col min="6668" max="6690" width="7.875" customWidth="1"/>
    <col min="6691" max="6691" width="8.125" bestFit="1" customWidth="1"/>
    <col min="6692" max="6692" width="7.625" bestFit="1" customWidth="1"/>
    <col min="6693" max="6693" width="29.5" bestFit="1" customWidth="1"/>
    <col min="6694" max="6694" width="9.25" bestFit="1" customWidth="1"/>
    <col min="6695" max="6695" width="3.625" customWidth="1"/>
    <col min="6696" max="6696" width="2.75" bestFit="1" customWidth="1"/>
    <col min="6697" max="6697" width="2.875" bestFit="1" customWidth="1"/>
    <col min="6913" max="6913" width="4.625" bestFit="1" customWidth="1"/>
    <col min="6914" max="6914" width="6.125" bestFit="1" customWidth="1"/>
    <col min="6915" max="6915" width="9.25" bestFit="1" customWidth="1"/>
    <col min="6916" max="6916" width="4.5" bestFit="1" customWidth="1"/>
    <col min="6917" max="6917" width="17.875" customWidth="1"/>
    <col min="6918" max="6918" width="17.375" bestFit="1" customWidth="1"/>
    <col min="6919" max="6920" width="4.375" bestFit="1" customWidth="1"/>
    <col min="6921" max="6921" width="6" bestFit="1" customWidth="1"/>
    <col min="6922" max="6922" width="8.625" bestFit="1" customWidth="1"/>
    <col min="6924" max="6946" width="7.875" customWidth="1"/>
    <col min="6947" max="6947" width="8.125" bestFit="1" customWidth="1"/>
    <col min="6948" max="6948" width="7.625" bestFit="1" customWidth="1"/>
    <col min="6949" max="6949" width="29.5" bestFit="1" customWidth="1"/>
    <col min="6950" max="6950" width="9.25" bestFit="1" customWidth="1"/>
    <col min="6951" max="6951" width="3.625" customWidth="1"/>
    <col min="6952" max="6952" width="2.75" bestFit="1" customWidth="1"/>
    <col min="6953" max="6953" width="2.875" bestFit="1" customWidth="1"/>
    <col min="7169" max="7169" width="4.625" bestFit="1" customWidth="1"/>
    <col min="7170" max="7170" width="6.125" bestFit="1" customWidth="1"/>
    <col min="7171" max="7171" width="9.25" bestFit="1" customWidth="1"/>
    <col min="7172" max="7172" width="4.5" bestFit="1" customWidth="1"/>
    <col min="7173" max="7173" width="17.875" customWidth="1"/>
    <col min="7174" max="7174" width="17.375" bestFit="1" customWidth="1"/>
    <col min="7175" max="7176" width="4.375" bestFit="1" customWidth="1"/>
    <col min="7177" max="7177" width="6" bestFit="1" customWidth="1"/>
    <col min="7178" max="7178" width="8.625" bestFit="1" customWidth="1"/>
    <col min="7180" max="7202" width="7.875" customWidth="1"/>
    <col min="7203" max="7203" width="8.125" bestFit="1" customWidth="1"/>
    <col min="7204" max="7204" width="7.625" bestFit="1" customWidth="1"/>
    <col min="7205" max="7205" width="29.5" bestFit="1" customWidth="1"/>
    <col min="7206" max="7206" width="9.25" bestFit="1" customWidth="1"/>
    <col min="7207" max="7207" width="3.625" customWidth="1"/>
    <col min="7208" max="7208" width="2.75" bestFit="1" customWidth="1"/>
    <col min="7209" max="7209" width="2.875" bestFit="1" customWidth="1"/>
    <col min="7425" max="7425" width="4.625" bestFit="1" customWidth="1"/>
    <col min="7426" max="7426" width="6.125" bestFit="1" customWidth="1"/>
    <col min="7427" max="7427" width="9.25" bestFit="1" customWidth="1"/>
    <col min="7428" max="7428" width="4.5" bestFit="1" customWidth="1"/>
    <col min="7429" max="7429" width="17.875" customWidth="1"/>
    <col min="7430" max="7430" width="17.375" bestFit="1" customWidth="1"/>
    <col min="7431" max="7432" width="4.375" bestFit="1" customWidth="1"/>
    <col min="7433" max="7433" width="6" bestFit="1" customWidth="1"/>
    <col min="7434" max="7434" width="8.625" bestFit="1" customWidth="1"/>
    <col min="7436" max="7458" width="7.875" customWidth="1"/>
    <col min="7459" max="7459" width="8.125" bestFit="1" customWidth="1"/>
    <col min="7460" max="7460" width="7.625" bestFit="1" customWidth="1"/>
    <col min="7461" max="7461" width="29.5" bestFit="1" customWidth="1"/>
    <col min="7462" max="7462" width="9.25" bestFit="1" customWidth="1"/>
    <col min="7463" max="7463" width="3.625" customWidth="1"/>
    <col min="7464" max="7464" width="2.75" bestFit="1" customWidth="1"/>
    <col min="7465" max="7465" width="2.875" bestFit="1" customWidth="1"/>
    <col min="7681" max="7681" width="4.625" bestFit="1" customWidth="1"/>
    <col min="7682" max="7682" width="6.125" bestFit="1" customWidth="1"/>
    <col min="7683" max="7683" width="9.25" bestFit="1" customWidth="1"/>
    <col min="7684" max="7684" width="4.5" bestFit="1" customWidth="1"/>
    <col min="7685" max="7685" width="17.875" customWidth="1"/>
    <col min="7686" max="7686" width="17.375" bestFit="1" customWidth="1"/>
    <col min="7687" max="7688" width="4.375" bestFit="1" customWidth="1"/>
    <col min="7689" max="7689" width="6" bestFit="1" customWidth="1"/>
    <col min="7690" max="7690" width="8.625" bestFit="1" customWidth="1"/>
    <col min="7692" max="7714" width="7.875" customWidth="1"/>
    <col min="7715" max="7715" width="8.125" bestFit="1" customWidth="1"/>
    <col min="7716" max="7716" width="7.625" bestFit="1" customWidth="1"/>
    <col min="7717" max="7717" width="29.5" bestFit="1" customWidth="1"/>
    <col min="7718" max="7718" width="9.25" bestFit="1" customWidth="1"/>
    <col min="7719" max="7719" width="3.625" customWidth="1"/>
    <col min="7720" max="7720" width="2.75" bestFit="1" customWidth="1"/>
    <col min="7721" max="7721" width="2.875" bestFit="1" customWidth="1"/>
    <col min="7937" max="7937" width="4.625" bestFit="1" customWidth="1"/>
    <col min="7938" max="7938" width="6.125" bestFit="1" customWidth="1"/>
    <col min="7939" max="7939" width="9.25" bestFit="1" customWidth="1"/>
    <col min="7940" max="7940" width="4.5" bestFit="1" customWidth="1"/>
    <col min="7941" max="7941" width="17.875" customWidth="1"/>
    <col min="7942" max="7942" width="17.375" bestFit="1" customWidth="1"/>
    <col min="7943" max="7944" width="4.375" bestFit="1" customWidth="1"/>
    <col min="7945" max="7945" width="6" bestFit="1" customWidth="1"/>
    <col min="7946" max="7946" width="8.625" bestFit="1" customWidth="1"/>
    <col min="7948" max="7970" width="7.875" customWidth="1"/>
    <col min="7971" max="7971" width="8.125" bestFit="1" customWidth="1"/>
    <col min="7972" max="7972" width="7.625" bestFit="1" customWidth="1"/>
    <col min="7973" max="7973" width="29.5" bestFit="1" customWidth="1"/>
    <col min="7974" max="7974" width="9.25" bestFit="1" customWidth="1"/>
    <col min="7975" max="7975" width="3.625" customWidth="1"/>
    <col min="7976" max="7976" width="2.75" bestFit="1" customWidth="1"/>
    <col min="7977" max="7977" width="2.875" bestFit="1" customWidth="1"/>
    <col min="8193" max="8193" width="4.625" bestFit="1" customWidth="1"/>
    <col min="8194" max="8194" width="6.125" bestFit="1" customWidth="1"/>
    <col min="8195" max="8195" width="9.25" bestFit="1" customWidth="1"/>
    <col min="8196" max="8196" width="4.5" bestFit="1" customWidth="1"/>
    <col min="8197" max="8197" width="17.875" customWidth="1"/>
    <col min="8198" max="8198" width="17.375" bestFit="1" customWidth="1"/>
    <col min="8199" max="8200" width="4.375" bestFit="1" customWidth="1"/>
    <col min="8201" max="8201" width="6" bestFit="1" customWidth="1"/>
    <col min="8202" max="8202" width="8.625" bestFit="1" customWidth="1"/>
    <col min="8204" max="8226" width="7.875" customWidth="1"/>
    <col min="8227" max="8227" width="8.125" bestFit="1" customWidth="1"/>
    <col min="8228" max="8228" width="7.625" bestFit="1" customWidth="1"/>
    <col min="8229" max="8229" width="29.5" bestFit="1" customWidth="1"/>
    <col min="8230" max="8230" width="9.25" bestFit="1" customWidth="1"/>
    <col min="8231" max="8231" width="3.625" customWidth="1"/>
    <col min="8232" max="8232" width="2.75" bestFit="1" customWidth="1"/>
    <col min="8233" max="8233" width="2.875" bestFit="1" customWidth="1"/>
    <col min="8449" max="8449" width="4.625" bestFit="1" customWidth="1"/>
    <col min="8450" max="8450" width="6.125" bestFit="1" customWidth="1"/>
    <col min="8451" max="8451" width="9.25" bestFit="1" customWidth="1"/>
    <col min="8452" max="8452" width="4.5" bestFit="1" customWidth="1"/>
    <col min="8453" max="8453" width="17.875" customWidth="1"/>
    <col min="8454" max="8454" width="17.375" bestFit="1" customWidth="1"/>
    <col min="8455" max="8456" width="4.375" bestFit="1" customWidth="1"/>
    <col min="8457" max="8457" width="6" bestFit="1" customWidth="1"/>
    <col min="8458" max="8458" width="8.625" bestFit="1" customWidth="1"/>
    <col min="8460" max="8482" width="7.875" customWidth="1"/>
    <col min="8483" max="8483" width="8.125" bestFit="1" customWidth="1"/>
    <col min="8484" max="8484" width="7.625" bestFit="1" customWidth="1"/>
    <col min="8485" max="8485" width="29.5" bestFit="1" customWidth="1"/>
    <col min="8486" max="8486" width="9.25" bestFit="1" customWidth="1"/>
    <col min="8487" max="8487" width="3.625" customWidth="1"/>
    <col min="8488" max="8488" width="2.75" bestFit="1" customWidth="1"/>
    <col min="8489" max="8489" width="2.875" bestFit="1" customWidth="1"/>
    <col min="8705" max="8705" width="4.625" bestFit="1" customWidth="1"/>
    <col min="8706" max="8706" width="6.125" bestFit="1" customWidth="1"/>
    <col min="8707" max="8707" width="9.25" bestFit="1" customWidth="1"/>
    <col min="8708" max="8708" width="4.5" bestFit="1" customWidth="1"/>
    <col min="8709" max="8709" width="17.875" customWidth="1"/>
    <col min="8710" max="8710" width="17.375" bestFit="1" customWidth="1"/>
    <col min="8711" max="8712" width="4.375" bestFit="1" customWidth="1"/>
    <col min="8713" max="8713" width="6" bestFit="1" customWidth="1"/>
    <col min="8714" max="8714" width="8.625" bestFit="1" customWidth="1"/>
    <col min="8716" max="8738" width="7.875" customWidth="1"/>
    <col min="8739" max="8739" width="8.125" bestFit="1" customWidth="1"/>
    <col min="8740" max="8740" width="7.625" bestFit="1" customWidth="1"/>
    <col min="8741" max="8741" width="29.5" bestFit="1" customWidth="1"/>
    <col min="8742" max="8742" width="9.25" bestFit="1" customWidth="1"/>
    <col min="8743" max="8743" width="3.625" customWidth="1"/>
    <col min="8744" max="8744" width="2.75" bestFit="1" customWidth="1"/>
    <col min="8745" max="8745" width="2.875" bestFit="1" customWidth="1"/>
    <col min="8961" max="8961" width="4.625" bestFit="1" customWidth="1"/>
    <col min="8962" max="8962" width="6.125" bestFit="1" customWidth="1"/>
    <col min="8963" max="8963" width="9.25" bestFit="1" customWidth="1"/>
    <col min="8964" max="8964" width="4.5" bestFit="1" customWidth="1"/>
    <col min="8965" max="8965" width="17.875" customWidth="1"/>
    <col min="8966" max="8966" width="17.375" bestFit="1" customWidth="1"/>
    <col min="8967" max="8968" width="4.375" bestFit="1" customWidth="1"/>
    <col min="8969" max="8969" width="6" bestFit="1" customWidth="1"/>
    <col min="8970" max="8970" width="8.625" bestFit="1" customWidth="1"/>
    <col min="8972" max="8994" width="7.875" customWidth="1"/>
    <col min="8995" max="8995" width="8.125" bestFit="1" customWidth="1"/>
    <col min="8996" max="8996" width="7.625" bestFit="1" customWidth="1"/>
    <col min="8997" max="8997" width="29.5" bestFit="1" customWidth="1"/>
    <col min="8998" max="8998" width="9.25" bestFit="1" customWidth="1"/>
    <col min="8999" max="8999" width="3.625" customWidth="1"/>
    <col min="9000" max="9000" width="2.75" bestFit="1" customWidth="1"/>
    <col min="9001" max="9001" width="2.875" bestFit="1" customWidth="1"/>
    <col min="9217" max="9217" width="4.625" bestFit="1" customWidth="1"/>
    <col min="9218" max="9218" width="6.125" bestFit="1" customWidth="1"/>
    <col min="9219" max="9219" width="9.25" bestFit="1" customWidth="1"/>
    <col min="9220" max="9220" width="4.5" bestFit="1" customWidth="1"/>
    <col min="9221" max="9221" width="17.875" customWidth="1"/>
    <col min="9222" max="9222" width="17.375" bestFit="1" customWidth="1"/>
    <col min="9223" max="9224" width="4.375" bestFit="1" customWidth="1"/>
    <col min="9225" max="9225" width="6" bestFit="1" customWidth="1"/>
    <col min="9226" max="9226" width="8.625" bestFit="1" customWidth="1"/>
    <col min="9228" max="9250" width="7.875" customWidth="1"/>
    <col min="9251" max="9251" width="8.125" bestFit="1" customWidth="1"/>
    <col min="9252" max="9252" width="7.625" bestFit="1" customWidth="1"/>
    <col min="9253" max="9253" width="29.5" bestFit="1" customWidth="1"/>
    <col min="9254" max="9254" width="9.25" bestFit="1" customWidth="1"/>
    <col min="9255" max="9255" width="3.625" customWidth="1"/>
    <col min="9256" max="9256" width="2.75" bestFit="1" customWidth="1"/>
    <col min="9257" max="9257" width="2.875" bestFit="1" customWidth="1"/>
    <col min="9473" max="9473" width="4.625" bestFit="1" customWidth="1"/>
    <col min="9474" max="9474" width="6.125" bestFit="1" customWidth="1"/>
    <col min="9475" max="9475" width="9.25" bestFit="1" customWidth="1"/>
    <col min="9476" max="9476" width="4.5" bestFit="1" customWidth="1"/>
    <col min="9477" max="9477" width="17.875" customWidth="1"/>
    <col min="9478" max="9478" width="17.375" bestFit="1" customWidth="1"/>
    <col min="9479" max="9480" width="4.375" bestFit="1" customWidth="1"/>
    <col min="9481" max="9481" width="6" bestFit="1" customWidth="1"/>
    <col min="9482" max="9482" width="8.625" bestFit="1" customWidth="1"/>
    <col min="9484" max="9506" width="7.875" customWidth="1"/>
    <col min="9507" max="9507" width="8.125" bestFit="1" customWidth="1"/>
    <col min="9508" max="9508" width="7.625" bestFit="1" customWidth="1"/>
    <col min="9509" max="9509" width="29.5" bestFit="1" customWidth="1"/>
    <col min="9510" max="9510" width="9.25" bestFit="1" customWidth="1"/>
    <col min="9511" max="9511" width="3.625" customWidth="1"/>
    <col min="9512" max="9512" width="2.75" bestFit="1" customWidth="1"/>
    <col min="9513" max="9513" width="2.875" bestFit="1" customWidth="1"/>
    <col min="9729" max="9729" width="4.625" bestFit="1" customWidth="1"/>
    <col min="9730" max="9730" width="6.125" bestFit="1" customWidth="1"/>
    <col min="9731" max="9731" width="9.25" bestFit="1" customWidth="1"/>
    <col min="9732" max="9732" width="4.5" bestFit="1" customWidth="1"/>
    <col min="9733" max="9733" width="17.875" customWidth="1"/>
    <col min="9734" max="9734" width="17.375" bestFit="1" customWidth="1"/>
    <col min="9735" max="9736" width="4.375" bestFit="1" customWidth="1"/>
    <col min="9737" max="9737" width="6" bestFit="1" customWidth="1"/>
    <col min="9738" max="9738" width="8.625" bestFit="1" customWidth="1"/>
    <col min="9740" max="9762" width="7.875" customWidth="1"/>
    <col min="9763" max="9763" width="8.125" bestFit="1" customWidth="1"/>
    <col min="9764" max="9764" width="7.625" bestFit="1" customWidth="1"/>
    <col min="9765" max="9765" width="29.5" bestFit="1" customWidth="1"/>
    <col min="9766" max="9766" width="9.25" bestFit="1" customWidth="1"/>
    <col min="9767" max="9767" width="3.625" customWidth="1"/>
    <col min="9768" max="9768" width="2.75" bestFit="1" customWidth="1"/>
    <col min="9769" max="9769" width="2.875" bestFit="1" customWidth="1"/>
    <col min="9985" max="9985" width="4.625" bestFit="1" customWidth="1"/>
    <col min="9986" max="9986" width="6.125" bestFit="1" customWidth="1"/>
    <col min="9987" max="9987" width="9.25" bestFit="1" customWidth="1"/>
    <col min="9988" max="9988" width="4.5" bestFit="1" customWidth="1"/>
    <col min="9989" max="9989" width="17.875" customWidth="1"/>
    <col min="9990" max="9990" width="17.375" bestFit="1" customWidth="1"/>
    <col min="9991" max="9992" width="4.375" bestFit="1" customWidth="1"/>
    <col min="9993" max="9993" width="6" bestFit="1" customWidth="1"/>
    <col min="9994" max="9994" width="8.625" bestFit="1" customWidth="1"/>
    <col min="9996" max="10018" width="7.875" customWidth="1"/>
    <col min="10019" max="10019" width="8.125" bestFit="1" customWidth="1"/>
    <col min="10020" max="10020" width="7.625" bestFit="1" customWidth="1"/>
    <col min="10021" max="10021" width="29.5" bestFit="1" customWidth="1"/>
    <col min="10022" max="10022" width="9.25" bestFit="1" customWidth="1"/>
    <col min="10023" max="10023" width="3.625" customWidth="1"/>
    <col min="10024" max="10024" width="2.75" bestFit="1" customWidth="1"/>
    <col min="10025" max="10025" width="2.875" bestFit="1" customWidth="1"/>
    <col min="10241" max="10241" width="4.625" bestFit="1" customWidth="1"/>
    <col min="10242" max="10242" width="6.125" bestFit="1" customWidth="1"/>
    <col min="10243" max="10243" width="9.25" bestFit="1" customWidth="1"/>
    <col min="10244" max="10244" width="4.5" bestFit="1" customWidth="1"/>
    <col min="10245" max="10245" width="17.875" customWidth="1"/>
    <col min="10246" max="10246" width="17.375" bestFit="1" customWidth="1"/>
    <col min="10247" max="10248" width="4.375" bestFit="1" customWidth="1"/>
    <col min="10249" max="10249" width="6" bestFit="1" customWidth="1"/>
    <col min="10250" max="10250" width="8.625" bestFit="1" customWidth="1"/>
    <col min="10252" max="10274" width="7.875" customWidth="1"/>
    <col min="10275" max="10275" width="8.125" bestFit="1" customWidth="1"/>
    <col min="10276" max="10276" width="7.625" bestFit="1" customWidth="1"/>
    <col min="10277" max="10277" width="29.5" bestFit="1" customWidth="1"/>
    <col min="10278" max="10278" width="9.25" bestFit="1" customWidth="1"/>
    <col min="10279" max="10279" width="3.625" customWidth="1"/>
    <col min="10280" max="10280" width="2.75" bestFit="1" customWidth="1"/>
    <col min="10281" max="10281" width="2.875" bestFit="1" customWidth="1"/>
    <col min="10497" max="10497" width="4.625" bestFit="1" customWidth="1"/>
    <col min="10498" max="10498" width="6.125" bestFit="1" customWidth="1"/>
    <col min="10499" max="10499" width="9.25" bestFit="1" customWidth="1"/>
    <col min="10500" max="10500" width="4.5" bestFit="1" customWidth="1"/>
    <col min="10501" max="10501" width="17.875" customWidth="1"/>
    <col min="10502" max="10502" width="17.375" bestFit="1" customWidth="1"/>
    <col min="10503" max="10504" width="4.375" bestFit="1" customWidth="1"/>
    <col min="10505" max="10505" width="6" bestFit="1" customWidth="1"/>
    <col min="10506" max="10506" width="8.625" bestFit="1" customWidth="1"/>
    <col min="10508" max="10530" width="7.875" customWidth="1"/>
    <col min="10531" max="10531" width="8.125" bestFit="1" customWidth="1"/>
    <col min="10532" max="10532" width="7.625" bestFit="1" customWidth="1"/>
    <col min="10533" max="10533" width="29.5" bestFit="1" customWidth="1"/>
    <col min="10534" max="10534" width="9.25" bestFit="1" customWidth="1"/>
    <col min="10535" max="10535" width="3.625" customWidth="1"/>
    <col min="10536" max="10536" width="2.75" bestFit="1" customWidth="1"/>
    <col min="10537" max="10537" width="2.875" bestFit="1" customWidth="1"/>
    <col min="10753" max="10753" width="4.625" bestFit="1" customWidth="1"/>
    <col min="10754" max="10754" width="6.125" bestFit="1" customWidth="1"/>
    <col min="10755" max="10755" width="9.25" bestFit="1" customWidth="1"/>
    <col min="10756" max="10756" width="4.5" bestFit="1" customWidth="1"/>
    <col min="10757" max="10757" width="17.875" customWidth="1"/>
    <col min="10758" max="10758" width="17.375" bestFit="1" customWidth="1"/>
    <col min="10759" max="10760" width="4.375" bestFit="1" customWidth="1"/>
    <col min="10761" max="10761" width="6" bestFit="1" customWidth="1"/>
    <col min="10762" max="10762" width="8.625" bestFit="1" customWidth="1"/>
    <col min="10764" max="10786" width="7.875" customWidth="1"/>
    <col min="10787" max="10787" width="8.125" bestFit="1" customWidth="1"/>
    <col min="10788" max="10788" width="7.625" bestFit="1" customWidth="1"/>
    <col min="10789" max="10789" width="29.5" bestFit="1" customWidth="1"/>
    <col min="10790" max="10790" width="9.25" bestFit="1" customWidth="1"/>
    <col min="10791" max="10791" width="3.625" customWidth="1"/>
    <col min="10792" max="10792" width="2.75" bestFit="1" customWidth="1"/>
    <col min="10793" max="10793" width="2.875" bestFit="1" customWidth="1"/>
    <col min="11009" max="11009" width="4.625" bestFit="1" customWidth="1"/>
    <col min="11010" max="11010" width="6.125" bestFit="1" customWidth="1"/>
    <col min="11011" max="11011" width="9.25" bestFit="1" customWidth="1"/>
    <col min="11012" max="11012" width="4.5" bestFit="1" customWidth="1"/>
    <col min="11013" max="11013" width="17.875" customWidth="1"/>
    <col min="11014" max="11014" width="17.375" bestFit="1" customWidth="1"/>
    <col min="11015" max="11016" width="4.375" bestFit="1" customWidth="1"/>
    <col min="11017" max="11017" width="6" bestFit="1" customWidth="1"/>
    <col min="11018" max="11018" width="8.625" bestFit="1" customWidth="1"/>
    <col min="11020" max="11042" width="7.875" customWidth="1"/>
    <col min="11043" max="11043" width="8.125" bestFit="1" customWidth="1"/>
    <col min="11044" max="11044" width="7.625" bestFit="1" customWidth="1"/>
    <col min="11045" max="11045" width="29.5" bestFit="1" customWidth="1"/>
    <col min="11046" max="11046" width="9.25" bestFit="1" customWidth="1"/>
    <col min="11047" max="11047" width="3.625" customWidth="1"/>
    <col min="11048" max="11048" width="2.75" bestFit="1" customWidth="1"/>
    <col min="11049" max="11049" width="2.875" bestFit="1" customWidth="1"/>
    <col min="11265" max="11265" width="4.625" bestFit="1" customWidth="1"/>
    <col min="11266" max="11266" width="6.125" bestFit="1" customWidth="1"/>
    <col min="11267" max="11267" width="9.25" bestFit="1" customWidth="1"/>
    <col min="11268" max="11268" width="4.5" bestFit="1" customWidth="1"/>
    <col min="11269" max="11269" width="17.875" customWidth="1"/>
    <col min="11270" max="11270" width="17.375" bestFit="1" customWidth="1"/>
    <col min="11271" max="11272" width="4.375" bestFit="1" customWidth="1"/>
    <col min="11273" max="11273" width="6" bestFit="1" customWidth="1"/>
    <col min="11274" max="11274" width="8.625" bestFit="1" customWidth="1"/>
    <col min="11276" max="11298" width="7.875" customWidth="1"/>
    <col min="11299" max="11299" width="8.125" bestFit="1" customWidth="1"/>
    <col min="11300" max="11300" width="7.625" bestFit="1" customWidth="1"/>
    <col min="11301" max="11301" width="29.5" bestFit="1" customWidth="1"/>
    <col min="11302" max="11302" width="9.25" bestFit="1" customWidth="1"/>
    <col min="11303" max="11303" width="3.625" customWidth="1"/>
    <col min="11304" max="11304" width="2.75" bestFit="1" customWidth="1"/>
    <col min="11305" max="11305" width="2.875" bestFit="1" customWidth="1"/>
    <col min="11521" max="11521" width="4.625" bestFit="1" customWidth="1"/>
    <col min="11522" max="11522" width="6.125" bestFit="1" customWidth="1"/>
    <col min="11523" max="11523" width="9.25" bestFit="1" customWidth="1"/>
    <col min="11524" max="11524" width="4.5" bestFit="1" customWidth="1"/>
    <col min="11525" max="11525" width="17.875" customWidth="1"/>
    <col min="11526" max="11526" width="17.375" bestFit="1" customWidth="1"/>
    <col min="11527" max="11528" width="4.375" bestFit="1" customWidth="1"/>
    <col min="11529" max="11529" width="6" bestFit="1" customWidth="1"/>
    <col min="11530" max="11530" width="8.625" bestFit="1" customWidth="1"/>
    <col min="11532" max="11554" width="7.875" customWidth="1"/>
    <col min="11555" max="11555" width="8.125" bestFit="1" customWidth="1"/>
    <col min="11556" max="11556" width="7.625" bestFit="1" customWidth="1"/>
    <col min="11557" max="11557" width="29.5" bestFit="1" customWidth="1"/>
    <col min="11558" max="11558" width="9.25" bestFit="1" customWidth="1"/>
    <col min="11559" max="11559" width="3.625" customWidth="1"/>
    <col min="11560" max="11560" width="2.75" bestFit="1" customWidth="1"/>
    <col min="11561" max="11561" width="2.875" bestFit="1" customWidth="1"/>
    <col min="11777" max="11777" width="4.625" bestFit="1" customWidth="1"/>
    <col min="11778" max="11778" width="6.125" bestFit="1" customWidth="1"/>
    <col min="11779" max="11779" width="9.25" bestFit="1" customWidth="1"/>
    <col min="11780" max="11780" width="4.5" bestFit="1" customWidth="1"/>
    <col min="11781" max="11781" width="17.875" customWidth="1"/>
    <col min="11782" max="11782" width="17.375" bestFit="1" customWidth="1"/>
    <col min="11783" max="11784" width="4.375" bestFit="1" customWidth="1"/>
    <col min="11785" max="11785" width="6" bestFit="1" customWidth="1"/>
    <col min="11786" max="11786" width="8.625" bestFit="1" customWidth="1"/>
    <col min="11788" max="11810" width="7.875" customWidth="1"/>
    <col min="11811" max="11811" width="8.125" bestFit="1" customWidth="1"/>
    <col min="11812" max="11812" width="7.625" bestFit="1" customWidth="1"/>
    <col min="11813" max="11813" width="29.5" bestFit="1" customWidth="1"/>
    <col min="11814" max="11814" width="9.25" bestFit="1" customWidth="1"/>
    <col min="11815" max="11815" width="3.625" customWidth="1"/>
    <col min="11816" max="11816" width="2.75" bestFit="1" customWidth="1"/>
    <col min="11817" max="11817" width="2.875" bestFit="1" customWidth="1"/>
    <col min="12033" max="12033" width="4.625" bestFit="1" customWidth="1"/>
    <col min="12034" max="12034" width="6.125" bestFit="1" customWidth="1"/>
    <col min="12035" max="12035" width="9.25" bestFit="1" customWidth="1"/>
    <col min="12036" max="12036" width="4.5" bestFit="1" customWidth="1"/>
    <col min="12037" max="12037" width="17.875" customWidth="1"/>
    <col min="12038" max="12038" width="17.375" bestFit="1" customWidth="1"/>
    <col min="12039" max="12040" width="4.375" bestFit="1" customWidth="1"/>
    <col min="12041" max="12041" width="6" bestFit="1" customWidth="1"/>
    <col min="12042" max="12042" width="8.625" bestFit="1" customWidth="1"/>
    <col min="12044" max="12066" width="7.875" customWidth="1"/>
    <col min="12067" max="12067" width="8.125" bestFit="1" customWidth="1"/>
    <col min="12068" max="12068" width="7.625" bestFit="1" customWidth="1"/>
    <col min="12069" max="12069" width="29.5" bestFit="1" customWidth="1"/>
    <col min="12070" max="12070" width="9.25" bestFit="1" customWidth="1"/>
    <col min="12071" max="12071" width="3.625" customWidth="1"/>
    <col min="12072" max="12072" width="2.75" bestFit="1" customWidth="1"/>
    <col min="12073" max="12073" width="2.875" bestFit="1" customWidth="1"/>
    <col min="12289" max="12289" width="4.625" bestFit="1" customWidth="1"/>
    <col min="12290" max="12290" width="6.125" bestFit="1" customWidth="1"/>
    <col min="12291" max="12291" width="9.25" bestFit="1" customWidth="1"/>
    <col min="12292" max="12292" width="4.5" bestFit="1" customWidth="1"/>
    <col min="12293" max="12293" width="17.875" customWidth="1"/>
    <col min="12294" max="12294" width="17.375" bestFit="1" customWidth="1"/>
    <col min="12295" max="12296" width="4.375" bestFit="1" customWidth="1"/>
    <col min="12297" max="12297" width="6" bestFit="1" customWidth="1"/>
    <col min="12298" max="12298" width="8.625" bestFit="1" customWidth="1"/>
    <col min="12300" max="12322" width="7.875" customWidth="1"/>
    <col min="12323" max="12323" width="8.125" bestFit="1" customWidth="1"/>
    <col min="12324" max="12324" width="7.625" bestFit="1" customWidth="1"/>
    <col min="12325" max="12325" width="29.5" bestFit="1" customWidth="1"/>
    <col min="12326" max="12326" width="9.25" bestFit="1" customWidth="1"/>
    <col min="12327" max="12327" width="3.625" customWidth="1"/>
    <col min="12328" max="12328" width="2.75" bestFit="1" customWidth="1"/>
    <col min="12329" max="12329" width="2.875" bestFit="1" customWidth="1"/>
    <col min="12545" max="12545" width="4.625" bestFit="1" customWidth="1"/>
    <col min="12546" max="12546" width="6.125" bestFit="1" customWidth="1"/>
    <col min="12547" max="12547" width="9.25" bestFit="1" customWidth="1"/>
    <col min="12548" max="12548" width="4.5" bestFit="1" customWidth="1"/>
    <col min="12549" max="12549" width="17.875" customWidth="1"/>
    <col min="12550" max="12550" width="17.375" bestFit="1" customWidth="1"/>
    <col min="12551" max="12552" width="4.375" bestFit="1" customWidth="1"/>
    <col min="12553" max="12553" width="6" bestFit="1" customWidth="1"/>
    <col min="12554" max="12554" width="8.625" bestFit="1" customWidth="1"/>
    <col min="12556" max="12578" width="7.875" customWidth="1"/>
    <col min="12579" max="12579" width="8.125" bestFit="1" customWidth="1"/>
    <col min="12580" max="12580" width="7.625" bestFit="1" customWidth="1"/>
    <col min="12581" max="12581" width="29.5" bestFit="1" customWidth="1"/>
    <col min="12582" max="12582" width="9.25" bestFit="1" customWidth="1"/>
    <col min="12583" max="12583" width="3.625" customWidth="1"/>
    <col min="12584" max="12584" width="2.75" bestFit="1" customWidth="1"/>
    <col min="12585" max="12585" width="2.875" bestFit="1" customWidth="1"/>
    <col min="12801" max="12801" width="4.625" bestFit="1" customWidth="1"/>
    <col min="12802" max="12802" width="6.125" bestFit="1" customWidth="1"/>
    <col min="12803" max="12803" width="9.25" bestFit="1" customWidth="1"/>
    <col min="12804" max="12804" width="4.5" bestFit="1" customWidth="1"/>
    <col min="12805" max="12805" width="17.875" customWidth="1"/>
    <col min="12806" max="12806" width="17.375" bestFit="1" customWidth="1"/>
    <col min="12807" max="12808" width="4.375" bestFit="1" customWidth="1"/>
    <col min="12809" max="12809" width="6" bestFit="1" customWidth="1"/>
    <col min="12810" max="12810" width="8.625" bestFit="1" customWidth="1"/>
    <col min="12812" max="12834" width="7.875" customWidth="1"/>
    <col min="12835" max="12835" width="8.125" bestFit="1" customWidth="1"/>
    <col min="12836" max="12836" width="7.625" bestFit="1" customWidth="1"/>
    <col min="12837" max="12837" width="29.5" bestFit="1" customWidth="1"/>
    <col min="12838" max="12838" width="9.25" bestFit="1" customWidth="1"/>
    <col min="12839" max="12839" width="3.625" customWidth="1"/>
    <col min="12840" max="12840" width="2.75" bestFit="1" customWidth="1"/>
    <col min="12841" max="12841" width="2.875" bestFit="1" customWidth="1"/>
    <col min="13057" max="13057" width="4.625" bestFit="1" customWidth="1"/>
    <col min="13058" max="13058" width="6.125" bestFit="1" customWidth="1"/>
    <col min="13059" max="13059" width="9.25" bestFit="1" customWidth="1"/>
    <col min="13060" max="13060" width="4.5" bestFit="1" customWidth="1"/>
    <col min="13061" max="13061" width="17.875" customWidth="1"/>
    <col min="13062" max="13062" width="17.375" bestFit="1" customWidth="1"/>
    <col min="13063" max="13064" width="4.375" bestFit="1" customWidth="1"/>
    <col min="13065" max="13065" width="6" bestFit="1" customWidth="1"/>
    <col min="13066" max="13066" width="8.625" bestFit="1" customWidth="1"/>
    <col min="13068" max="13090" width="7.875" customWidth="1"/>
    <col min="13091" max="13091" width="8.125" bestFit="1" customWidth="1"/>
    <col min="13092" max="13092" width="7.625" bestFit="1" customWidth="1"/>
    <col min="13093" max="13093" width="29.5" bestFit="1" customWidth="1"/>
    <col min="13094" max="13094" width="9.25" bestFit="1" customWidth="1"/>
    <col min="13095" max="13095" width="3.625" customWidth="1"/>
    <col min="13096" max="13096" width="2.75" bestFit="1" customWidth="1"/>
    <col min="13097" max="13097" width="2.875" bestFit="1" customWidth="1"/>
    <col min="13313" max="13313" width="4.625" bestFit="1" customWidth="1"/>
    <col min="13314" max="13314" width="6.125" bestFit="1" customWidth="1"/>
    <col min="13315" max="13315" width="9.25" bestFit="1" customWidth="1"/>
    <col min="13316" max="13316" width="4.5" bestFit="1" customWidth="1"/>
    <col min="13317" max="13317" width="17.875" customWidth="1"/>
    <col min="13318" max="13318" width="17.375" bestFit="1" customWidth="1"/>
    <col min="13319" max="13320" width="4.375" bestFit="1" customWidth="1"/>
    <col min="13321" max="13321" width="6" bestFit="1" customWidth="1"/>
    <col min="13322" max="13322" width="8.625" bestFit="1" customWidth="1"/>
    <col min="13324" max="13346" width="7.875" customWidth="1"/>
    <col min="13347" max="13347" width="8.125" bestFit="1" customWidth="1"/>
    <col min="13348" max="13348" width="7.625" bestFit="1" customWidth="1"/>
    <col min="13349" max="13349" width="29.5" bestFit="1" customWidth="1"/>
    <col min="13350" max="13350" width="9.25" bestFit="1" customWidth="1"/>
    <col min="13351" max="13351" width="3.625" customWidth="1"/>
    <col min="13352" max="13352" width="2.75" bestFit="1" customWidth="1"/>
    <col min="13353" max="13353" width="2.875" bestFit="1" customWidth="1"/>
    <col min="13569" max="13569" width="4.625" bestFit="1" customWidth="1"/>
    <col min="13570" max="13570" width="6.125" bestFit="1" customWidth="1"/>
    <col min="13571" max="13571" width="9.25" bestFit="1" customWidth="1"/>
    <col min="13572" max="13572" width="4.5" bestFit="1" customWidth="1"/>
    <col min="13573" max="13573" width="17.875" customWidth="1"/>
    <col min="13574" max="13574" width="17.375" bestFit="1" customWidth="1"/>
    <col min="13575" max="13576" width="4.375" bestFit="1" customWidth="1"/>
    <col min="13577" max="13577" width="6" bestFit="1" customWidth="1"/>
    <col min="13578" max="13578" width="8.625" bestFit="1" customWidth="1"/>
    <col min="13580" max="13602" width="7.875" customWidth="1"/>
    <col min="13603" max="13603" width="8.125" bestFit="1" customWidth="1"/>
    <col min="13604" max="13604" width="7.625" bestFit="1" customWidth="1"/>
    <col min="13605" max="13605" width="29.5" bestFit="1" customWidth="1"/>
    <col min="13606" max="13606" width="9.25" bestFit="1" customWidth="1"/>
    <col min="13607" max="13607" width="3.625" customWidth="1"/>
    <col min="13608" max="13608" width="2.75" bestFit="1" customWidth="1"/>
    <col min="13609" max="13609" width="2.875" bestFit="1" customWidth="1"/>
    <col min="13825" max="13825" width="4.625" bestFit="1" customWidth="1"/>
    <col min="13826" max="13826" width="6.125" bestFit="1" customWidth="1"/>
    <col min="13827" max="13827" width="9.25" bestFit="1" customWidth="1"/>
    <col min="13828" max="13828" width="4.5" bestFit="1" customWidth="1"/>
    <col min="13829" max="13829" width="17.875" customWidth="1"/>
    <col min="13830" max="13830" width="17.375" bestFit="1" customWidth="1"/>
    <col min="13831" max="13832" width="4.375" bestFit="1" customWidth="1"/>
    <col min="13833" max="13833" width="6" bestFit="1" customWidth="1"/>
    <col min="13834" max="13834" width="8.625" bestFit="1" customWidth="1"/>
    <col min="13836" max="13858" width="7.875" customWidth="1"/>
    <col min="13859" max="13859" width="8.125" bestFit="1" customWidth="1"/>
    <col min="13860" max="13860" width="7.625" bestFit="1" customWidth="1"/>
    <col min="13861" max="13861" width="29.5" bestFit="1" customWidth="1"/>
    <col min="13862" max="13862" width="9.25" bestFit="1" customWidth="1"/>
    <col min="13863" max="13863" width="3.625" customWidth="1"/>
    <col min="13864" max="13864" width="2.75" bestFit="1" customWidth="1"/>
    <col min="13865" max="13865" width="2.875" bestFit="1" customWidth="1"/>
    <col min="14081" max="14081" width="4.625" bestFit="1" customWidth="1"/>
    <col min="14082" max="14082" width="6.125" bestFit="1" customWidth="1"/>
    <col min="14083" max="14083" width="9.25" bestFit="1" customWidth="1"/>
    <col min="14084" max="14084" width="4.5" bestFit="1" customWidth="1"/>
    <col min="14085" max="14085" width="17.875" customWidth="1"/>
    <col min="14086" max="14086" width="17.375" bestFit="1" customWidth="1"/>
    <col min="14087" max="14088" width="4.375" bestFit="1" customWidth="1"/>
    <col min="14089" max="14089" width="6" bestFit="1" customWidth="1"/>
    <col min="14090" max="14090" width="8.625" bestFit="1" customWidth="1"/>
    <col min="14092" max="14114" width="7.875" customWidth="1"/>
    <col min="14115" max="14115" width="8.125" bestFit="1" customWidth="1"/>
    <col min="14116" max="14116" width="7.625" bestFit="1" customWidth="1"/>
    <col min="14117" max="14117" width="29.5" bestFit="1" customWidth="1"/>
    <col min="14118" max="14118" width="9.25" bestFit="1" customWidth="1"/>
    <col min="14119" max="14119" width="3.625" customWidth="1"/>
    <col min="14120" max="14120" width="2.75" bestFit="1" customWidth="1"/>
    <col min="14121" max="14121" width="2.875" bestFit="1" customWidth="1"/>
    <col min="14337" max="14337" width="4.625" bestFit="1" customWidth="1"/>
    <col min="14338" max="14338" width="6.125" bestFit="1" customWidth="1"/>
    <col min="14339" max="14339" width="9.25" bestFit="1" customWidth="1"/>
    <col min="14340" max="14340" width="4.5" bestFit="1" customWidth="1"/>
    <col min="14341" max="14341" width="17.875" customWidth="1"/>
    <col min="14342" max="14342" width="17.375" bestFit="1" customWidth="1"/>
    <col min="14343" max="14344" width="4.375" bestFit="1" customWidth="1"/>
    <col min="14345" max="14345" width="6" bestFit="1" customWidth="1"/>
    <col min="14346" max="14346" width="8.625" bestFit="1" customWidth="1"/>
    <col min="14348" max="14370" width="7.875" customWidth="1"/>
    <col min="14371" max="14371" width="8.125" bestFit="1" customWidth="1"/>
    <col min="14372" max="14372" width="7.625" bestFit="1" customWidth="1"/>
    <col min="14373" max="14373" width="29.5" bestFit="1" customWidth="1"/>
    <col min="14374" max="14374" width="9.25" bestFit="1" customWidth="1"/>
    <col min="14375" max="14375" width="3.625" customWidth="1"/>
    <col min="14376" max="14376" width="2.75" bestFit="1" customWidth="1"/>
    <col min="14377" max="14377" width="2.875" bestFit="1" customWidth="1"/>
    <col min="14593" max="14593" width="4.625" bestFit="1" customWidth="1"/>
    <col min="14594" max="14594" width="6.125" bestFit="1" customWidth="1"/>
    <col min="14595" max="14595" width="9.25" bestFit="1" customWidth="1"/>
    <col min="14596" max="14596" width="4.5" bestFit="1" customWidth="1"/>
    <col min="14597" max="14597" width="17.875" customWidth="1"/>
    <col min="14598" max="14598" width="17.375" bestFit="1" customWidth="1"/>
    <col min="14599" max="14600" width="4.375" bestFit="1" customWidth="1"/>
    <col min="14601" max="14601" width="6" bestFit="1" customWidth="1"/>
    <col min="14602" max="14602" width="8.625" bestFit="1" customWidth="1"/>
    <col min="14604" max="14626" width="7.875" customWidth="1"/>
    <col min="14627" max="14627" width="8.125" bestFit="1" customWidth="1"/>
    <col min="14628" max="14628" width="7.625" bestFit="1" customWidth="1"/>
    <col min="14629" max="14629" width="29.5" bestFit="1" customWidth="1"/>
    <col min="14630" max="14630" width="9.25" bestFit="1" customWidth="1"/>
    <col min="14631" max="14631" width="3.625" customWidth="1"/>
    <col min="14632" max="14632" width="2.75" bestFit="1" customWidth="1"/>
    <col min="14633" max="14633" width="2.875" bestFit="1" customWidth="1"/>
    <col min="14849" max="14849" width="4.625" bestFit="1" customWidth="1"/>
    <col min="14850" max="14850" width="6.125" bestFit="1" customWidth="1"/>
    <col min="14851" max="14851" width="9.25" bestFit="1" customWidth="1"/>
    <col min="14852" max="14852" width="4.5" bestFit="1" customWidth="1"/>
    <col min="14853" max="14853" width="17.875" customWidth="1"/>
    <col min="14854" max="14854" width="17.375" bestFit="1" customWidth="1"/>
    <col min="14855" max="14856" width="4.375" bestFit="1" customWidth="1"/>
    <col min="14857" max="14857" width="6" bestFit="1" customWidth="1"/>
    <col min="14858" max="14858" width="8.625" bestFit="1" customWidth="1"/>
    <col min="14860" max="14882" width="7.875" customWidth="1"/>
    <col min="14883" max="14883" width="8.125" bestFit="1" customWidth="1"/>
    <col min="14884" max="14884" width="7.625" bestFit="1" customWidth="1"/>
    <col min="14885" max="14885" width="29.5" bestFit="1" customWidth="1"/>
    <col min="14886" max="14886" width="9.25" bestFit="1" customWidth="1"/>
    <col min="14887" max="14887" width="3.625" customWidth="1"/>
    <col min="14888" max="14888" width="2.75" bestFit="1" customWidth="1"/>
    <col min="14889" max="14889" width="2.875" bestFit="1" customWidth="1"/>
    <col min="15105" max="15105" width="4.625" bestFit="1" customWidth="1"/>
    <col min="15106" max="15106" width="6.125" bestFit="1" customWidth="1"/>
    <col min="15107" max="15107" width="9.25" bestFit="1" customWidth="1"/>
    <col min="15108" max="15108" width="4.5" bestFit="1" customWidth="1"/>
    <col min="15109" max="15109" width="17.875" customWidth="1"/>
    <col min="15110" max="15110" width="17.375" bestFit="1" customWidth="1"/>
    <col min="15111" max="15112" width="4.375" bestFit="1" customWidth="1"/>
    <col min="15113" max="15113" width="6" bestFit="1" customWidth="1"/>
    <col min="15114" max="15114" width="8.625" bestFit="1" customWidth="1"/>
    <col min="15116" max="15138" width="7.875" customWidth="1"/>
    <col min="15139" max="15139" width="8.125" bestFit="1" customWidth="1"/>
    <col min="15140" max="15140" width="7.625" bestFit="1" customWidth="1"/>
    <col min="15141" max="15141" width="29.5" bestFit="1" customWidth="1"/>
    <col min="15142" max="15142" width="9.25" bestFit="1" customWidth="1"/>
    <col min="15143" max="15143" width="3.625" customWidth="1"/>
    <col min="15144" max="15144" width="2.75" bestFit="1" customWidth="1"/>
    <col min="15145" max="15145" width="2.875" bestFit="1" customWidth="1"/>
    <col min="15361" max="15361" width="4.625" bestFit="1" customWidth="1"/>
    <col min="15362" max="15362" width="6.125" bestFit="1" customWidth="1"/>
    <col min="15363" max="15363" width="9.25" bestFit="1" customWidth="1"/>
    <col min="15364" max="15364" width="4.5" bestFit="1" customWidth="1"/>
    <col min="15365" max="15365" width="17.875" customWidth="1"/>
    <col min="15366" max="15366" width="17.375" bestFit="1" customWidth="1"/>
    <col min="15367" max="15368" width="4.375" bestFit="1" customWidth="1"/>
    <col min="15369" max="15369" width="6" bestFit="1" customWidth="1"/>
    <col min="15370" max="15370" width="8.625" bestFit="1" customWidth="1"/>
    <col min="15372" max="15394" width="7.875" customWidth="1"/>
    <col min="15395" max="15395" width="8.125" bestFit="1" customWidth="1"/>
    <col min="15396" max="15396" width="7.625" bestFit="1" customWidth="1"/>
    <col min="15397" max="15397" width="29.5" bestFit="1" customWidth="1"/>
    <col min="15398" max="15398" width="9.25" bestFit="1" customWidth="1"/>
    <col min="15399" max="15399" width="3.625" customWidth="1"/>
    <col min="15400" max="15400" width="2.75" bestFit="1" customWidth="1"/>
    <col min="15401" max="15401" width="2.875" bestFit="1" customWidth="1"/>
    <col min="15617" max="15617" width="4.625" bestFit="1" customWidth="1"/>
    <col min="15618" max="15618" width="6.125" bestFit="1" customWidth="1"/>
    <col min="15619" max="15619" width="9.25" bestFit="1" customWidth="1"/>
    <col min="15620" max="15620" width="4.5" bestFit="1" customWidth="1"/>
    <col min="15621" max="15621" width="17.875" customWidth="1"/>
    <col min="15622" max="15622" width="17.375" bestFit="1" customWidth="1"/>
    <col min="15623" max="15624" width="4.375" bestFit="1" customWidth="1"/>
    <col min="15625" max="15625" width="6" bestFit="1" customWidth="1"/>
    <col min="15626" max="15626" width="8.625" bestFit="1" customWidth="1"/>
    <col min="15628" max="15650" width="7.875" customWidth="1"/>
    <col min="15651" max="15651" width="8.125" bestFit="1" customWidth="1"/>
    <col min="15652" max="15652" width="7.625" bestFit="1" customWidth="1"/>
    <col min="15653" max="15653" width="29.5" bestFit="1" customWidth="1"/>
    <col min="15654" max="15654" width="9.25" bestFit="1" customWidth="1"/>
    <col min="15655" max="15655" width="3.625" customWidth="1"/>
    <col min="15656" max="15656" width="2.75" bestFit="1" customWidth="1"/>
    <col min="15657" max="15657" width="2.875" bestFit="1" customWidth="1"/>
    <col min="15873" max="15873" width="4.625" bestFit="1" customWidth="1"/>
    <col min="15874" max="15874" width="6.125" bestFit="1" customWidth="1"/>
    <col min="15875" max="15875" width="9.25" bestFit="1" customWidth="1"/>
    <col min="15876" max="15876" width="4.5" bestFit="1" customWidth="1"/>
    <col min="15877" max="15877" width="17.875" customWidth="1"/>
    <col min="15878" max="15878" width="17.375" bestFit="1" customWidth="1"/>
    <col min="15879" max="15880" width="4.375" bestFit="1" customWidth="1"/>
    <col min="15881" max="15881" width="6" bestFit="1" customWidth="1"/>
    <col min="15882" max="15882" width="8.625" bestFit="1" customWidth="1"/>
    <col min="15884" max="15906" width="7.875" customWidth="1"/>
    <col min="15907" max="15907" width="8.125" bestFit="1" customWidth="1"/>
    <col min="15908" max="15908" width="7.625" bestFit="1" customWidth="1"/>
    <col min="15909" max="15909" width="29.5" bestFit="1" customWidth="1"/>
    <col min="15910" max="15910" width="9.25" bestFit="1" customWidth="1"/>
    <col min="15911" max="15911" width="3.625" customWidth="1"/>
    <col min="15912" max="15912" width="2.75" bestFit="1" customWidth="1"/>
    <col min="15913" max="15913" width="2.875" bestFit="1" customWidth="1"/>
    <col min="16129" max="16129" width="4.625" bestFit="1" customWidth="1"/>
    <col min="16130" max="16130" width="6.125" bestFit="1" customWidth="1"/>
    <col min="16131" max="16131" width="9.25" bestFit="1" customWidth="1"/>
    <col min="16132" max="16132" width="4.5" bestFit="1" customWidth="1"/>
    <col min="16133" max="16133" width="17.875" customWidth="1"/>
    <col min="16134" max="16134" width="17.375" bestFit="1" customWidth="1"/>
    <col min="16135" max="16136" width="4.375" bestFit="1" customWidth="1"/>
    <col min="16137" max="16137" width="6" bestFit="1" customWidth="1"/>
    <col min="16138" max="16138" width="8.625" bestFit="1" customWidth="1"/>
    <col min="16140" max="16162" width="7.875" customWidth="1"/>
    <col min="16163" max="16163" width="8.125" bestFit="1" customWidth="1"/>
    <col min="16164" max="16164" width="7.625" bestFit="1" customWidth="1"/>
    <col min="16165" max="16165" width="29.5" bestFit="1" customWidth="1"/>
    <col min="16166" max="16166" width="9.25" bestFit="1" customWidth="1"/>
    <col min="16167" max="16167" width="3.625" customWidth="1"/>
    <col min="16168" max="16168" width="2.75" bestFit="1" customWidth="1"/>
    <col min="16169" max="16169" width="2.875" bestFit="1" customWidth="1"/>
  </cols>
  <sheetData>
    <row r="1" spans="1:48" ht="24">
      <c r="A1" s="167"/>
      <c r="B1" s="168"/>
      <c r="C1" s="167"/>
      <c r="D1" s="167"/>
      <c r="E1" s="169" t="s">
        <v>989</v>
      </c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70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</row>
    <row r="2" spans="1:48">
      <c r="A2" s="173" t="s">
        <v>732</v>
      </c>
      <c r="B2" s="174" t="s">
        <v>990</v>
      </c>
      <c r="C2" s="173" t="s">
        <v>733</v>
      </c>
      <c r="D2" s="173" t="s">
        <v>0</v>
      </c>
      <c r="E2" s="173" t="s">
        <v>734</v>
      </c>
      <c r="F2" s="173" t="s">
        <v>1</v>
      </c>
      <c r="G2" s="173" t="s">
        <v>2</v>
      </c>
      <c r="H2" s="173" t="s">
        <v>3</v>
      </c>
      <c r="I2" s="173" t="s">
        <v>4</v>
      </c>
      <c r="J2" s="173" t="s">
        <v>5</v>
      </c>
      <c r="K2" s="173" t="s">
        <v>262</v>
      </c>
      <c r="L2" s="173" t="s">
        <v>735</v>
      </c>
      <c r="M2" s="173">
        <v>50</v>
      </c>
      <c r="N2" s="173">
        <v>51</v>
      </c>
      <c r="O2" s="173">
        <v>52</v>
      </c>
      <c r="P2" s="173">
        <v>53</v>
      </c>
      <c r="Q2" s="173">
        <v>54</v>
      </c>
      <c r="R2" s="173">
        <v>55</v>
      </c>
      <c r="S2" s="173">
        <v>56</v>
      </c>
      <c r="T2" s="173">
        <v>57</v>
      </c>
      <c r="U2" s="173">
        <v>58</v>
      </c>
      <c r="V2" s="173">
        <v>59</v>
      </c>
      <c r="W2" s="173">
        <v>60</v>
      </c>
      <c r="X2" s="173">
        <v>61</v>
      </c>
      <c r="Y2" s="173">
        <v>62</v>
      </c>
      <c r="Z2" s="173">
        <v>63</v>
      </c>
      <c r="AA2" s="173" t="s">
        <v>736</v>
      </c>
      <c r="AB2" s="173">
        <v>2</v>
      </c>
      <c r="AC2" s="173">
        <v>3</v>
      </c>
      <c r="AD2" s="173">
        <v>4</v>
      </c>
      <c r="AE2" s="173">
        <v>5</v>
      </c>
      <c r="AF2" s="175" t="s">
        <v>737</v>
      </c>
      <c r="AG2" s="173">
        <v>7</v>
      </c>
      <c r="AH2" s="173">
        <v>8</v>
      </c>
      <c r="AI2" s="174" t="s">
        <v>738</v>
      </c>
      <c r="AJ2" s="173" t="s">
        <v>739</v>
      </c>
      <c r="AK2" s="173" t="s">
        <v>740</v>
      </c>
      <c r="AL2" s="176" t="s">
        <v>741</v>
      </c>
      <c r="AM2" s="173" t="s">
        <v>991</v>
      </c>
      <c r="AN2" s="177"/>
      <c r="AO2" s="177"/>
      <c r="AP2" s="178" t="s">
        <v>992</v>
      </c>
      <c r="AQ2" s="179" t="s">
        <v>993</v>
      </c>
      <c r="AR2" t="s">
        <v>994</v>
      </c>
      <c r="AS2" t="s">
        <v>995</v>
      </c>
      <c r="AT2" t="s">
        <v>996</v>
      </c>
      <c r="AU2" t="s">
        <v>997</v>
      </c>
      <c r="AV2" t="s">
        <v>998</v>
      </c>
    </row>
    <row r="3" spans="1:48">
      <c r="A3" s="167"/>
      <c r="B3" s="168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</row>
    <row r="4" spans="1:48">
      <c r="A4" s="176">
        <v>101</v>
      </c>
      <c r="B4" s="180"/>
      <c r="C4" s="176" t="s">
        <v>742</v>
      </c>
      <c r="D4" s="176" t="s">
        <v>6</v>
      </c>
      <c r="E4" s="176" t="s">
        <v>7</v>
      </c>
      <c r="F4" s="176" t="s">
        <v>8</v>
      </c>
      <c r="G4" s="176" t="s">
        <v>9</v>
      </c>
      <c r="H4" s="176" t="s">
        <v>10</v>
      </c>
      <c r="I4" s="176" t="s">
        <v>743</v>
      </c>
      <c r="J4" s="176" t="s">
        <v>11</v>
      </c>
      <c r="K4" s="176" t="s">
        <v>263</v>
      </c>
      <c r="L4" s="173"/>
      <c r="M4" s="181"/>
      <c r="N4" s="182">
        <v>1.3</v>
      </c>
      <c r="O4" s="182">
        <v>-4.7</v>
      </c>
      <c r="P4" s="182">
        <v>15</v>
      </c>
      <c r="Q4" s="182">
        <v>6.6</v>
      </c>
      <c r="R4" s="182">
        <v>2.5</v>
      </c>
      <c r="S4" s="182">
        <v>-1.9</v>
      </c>
      <c r="T4" s="182">
        <v>4.0999999999999996</v>
      </c>
      <c r="U4" s="182">
        <v>1.9</v>
      </c>
      <c r="V4" s="182">
        <v>2.5</v>
      </c>
      <c r="W4" s="182">
        <v>13.1</v>
      </c>
      <c r="X4" s="182">
        <v>-2.5</v>
      </c>
      <c r="Y4" s="182">
        <v>-9.5</v>
      </c>
      <c r="Z4" s="177" t="s">
        <v>744</v>
      </c>
      <c r="AA4" s="177"/>
      <c r="AB4" s="183">
        <v>15.3</v>
      </c>
      <c r="AC4" s="182">
        <v>8.5</v>
      </c>
      <c r="AD4" s="182">
        <v>0</v>
      </c>
      <c r="AE4" s="176">
        <v>-1.9</v>
      </c>
      <c r="AF4" s="182">
        <v>6.3</v>
      </c>
      <c r="AG4" s="182">
        <v>4.8</v>
      </c>
      <c r="AH4" s="182">
        <v>-5.7</v>
      </c>
      <c r="AI4" s="184">
        <v>16.184100000000001</v>
      </c>
      <c r="AJ4" s="176">
        <v>8</v>
      </c>
      <c r="AK4" s="176" t="s">
        <v>745</v>
      </c>
      <c r="AL4" s="182">
        <f>SUM(L4:AH4)</f>
        <v>55.699999999999996</v>
      </c>
      <c r="AM4" s="185" t="s">
        <v>10</v>
      </c>
      <c r="AN4" s="183" t="s">
        <v>999</v>
      </c>
      <c r="AO4" s="183" t="s">
        <v>545</v>
      </c>
      <c r="AP4" s="186">
        <f>AH4/AQ4</f>
        <v>-5.7</v>
      </c>
      <c r="AQ4" s="187">
        <v>1</v>
      </c>
      <c r="AR4" s="188">
        <f>W4</f>
        <v>13.1</v>
      </c>
      <c r="AS4" s="188">
        <f>AD4</f>
        <v>0</v>
      </c>
      <c r="AT4" s="188">
        <f>AE4</f>
        <v>-1.9</v>
      </c>
      <c r="AU4" s="188">
        <f>AH4</f>
        <v>-5.7</v>
      </c>
      <c r="AV4" s="188">
        <f>SUM(AD4:AH4)</f>
        <v>3.4999999999999991</v>
      </c>
    </row>
    <row r="5" spans="1:48">
      <c r="A5" s="176">
        <v>102</v>
      </c>
      <c r="B5" s="180" t="s">
        <v>1000</v>
      </c>
      <c r="C5" s="176" t="s">
        <v>746</v>
      </c>
      <c r="D5" s="176" t="s">
        <v>6</v>
      </c>
      <c r="E5" s="176" t="s">
        <v>747</v>
      </c>
      <c r="F5" s="176" t="s">
        <v>748</v>
      </c>
      <c r="G5" s="176" t="s">
        <v>12</v>
      </c>
      <c r="H5" s="176" t="s">
        <v>10</v>
      </c>
      <c r="I5" s="176" t="s">
        <v>743</v>
      </c>
      <c r="J5" s="176" t="s">
        <v>11</v>
      </c>
      <c r="K5" s="176" t="s">
        <v>263</v>
      </c>
      <c r="L5" s="173"/>
      <c r="M5" s="181"/>
      <c r="N5" s="182">
        <v>-4.2</v>
      </c>
      <c r="O5" s="182">
        <v>-2.6</v>
      </c>
      <c r="P5" s="182">
        <v>12.1</v>
      </c>
      <c r="Q5" s="182">
        <v>6.1</v>
      </c>
      <c r="R5" s="182">
        <v>1.6</v>
      </c>
      <c r="S5" s="182">
        <v>-2.9</v>
      </c>
      <c r="T5" s="182">
        <v>3.2</v>
      </c>
      <c r="U5" s="182">
        <v>0.5</v>
      </c>
      <c r="V5" s="182">
        <v>1.5</v>
      </c>
      <c r="W5" s="182">
        <v>13.5</v>
      </c>
      <c r="X5" s="182">
        <v>-4.0999999999999996</v>
      </c>
      <c r="Y5" s="182">
        <v>-10.7</v>
      </c>
      <c r="Z5" s="176">
        <v>7.9</v>
      </c>
      <c r="AA5" s="182">
        <v>5.6</v>
      </c>
      <c r="AB5" s="182">
        <v>-1.7</v>
      </c>
      <c r="AC5" s="182">
        <v>6</v>
      </c>
      <c r="AD5" s="182">
        <v>-1.1000000000000001</v>
      </c>
      <c r="AE5" s="176">
        <v>-3.3</v>
      </c>
      <c r="AF5" s="182">
        <v>5.7</v>
      </c>
      <c r="AG5" s="182">
        <v>4.5</v>
      </c>
      <c r="AH5" s="182">
        <v>-5.7</v>
      </c>
      <c r="AI5" s="184">
        <v>18.053699999999999</v>
      </c>
      <c r="AJ5" s="176">
        <v>8</v>
      </c>
      <c r="AK5" s="176"/>
      <c r="AL5" s="182">
        <f>SUM(L5:AH5)</f>
        <v>31.900000000000002</v>
      </c>
      <c r="AM5" s="185" t="s">
        <v>10</v>
      </c>
      <c r="AN5" s="183" t="s">
        <v>999</v>
      </c>
      <c r="AO5" s="183" t="s">
        <v>545</v>
      </c>
      <c r="AP5" s="186">
        <f t="shared" ref="AP5:AP68" si="0">AH5/AQ5</f>
        <v>-5.7</v>
      </c>
      <c r="AQ5" s="187">
        <v>1</v>
      </c>
      <c r="AR5" s="188">
        <f t="shared" ref="AR5:AR68" si="1">W5</f>
        <v>13.5</v>
      </c>
      <c r="AS5" s="188">
        <f t="shared" ref="AS5:AT68" si="2">AD5</f>
        <v>-1.1000000000000001</v>
      </c>
      <c r="AT5" s="188">
        <f t="shared" si="2"/>
        <v>-3.3</v>
      </c>
      <c r="AU5" s="188">
        <f t="shared" ref="AU5:AU68" si="3">AH5</f>
        <v>-5.7</v>
      </c>
      <c r="AV5" s="188">
        <f t="shared" ref="AV5:AV68" si="4">SUM(AD5:AH5)</f>
        <v>9.9999999999999645E-2</v>
      </c>
    </row>
    <row r="6" spans="1:48">
      <c r="A6" s="176">
        <v>103</v>
      </c>
      <c r="B6" s="180"/>
      <c r="C6" s="176" t="s">
        <v>749</v>
      </c>
      <c r="D6" s="176" t="s">
        <v>6</v>
      </c>
      <c r="E6" s="176" t="s">
        <v>13</v>
      </c>
      <c r="F6" s="176" t="s">
        <v>14</v>
      </c>
      <c r="G6" s="176" t="s">
        <v>9</v>
      </c>
      <c r="H6" s="176" t="s">
        <v>10</v>
      </c>
      <c r="I6" s="176" t="s">
        <v>743</v>
      </c>
      <c r="J6" s="176" t="s">
        <v>11</v>
      </c>
      <c r="K6" s="176" t="s">
        <v>263</v>
      </c>
      <c r="L6" s="173"/>
      <c r="M6" s="181"/>
      <c r="N6" s="182">
        <v>0</v>
      </c>
      <c r="O6" s="182">
        <v>4</v>
      </c>
      <c r="P6" s="182">
        <v>16.3</v>
      </c>
      <c r="Q6" s="182">
        <v>8.1999999999999993</v>
      </c>
      <c r="R6" s="182">
        <v>5.4</v>
      </c>
      <c r="S6" s="182">
        <v>1.6</v>
      </c>
      <c r="T6" s="182">
        <v>7.4</v>
      </c>
      <c r="U6" s="182">
        <v>5.5</v>
      </c>
      <c r="V6" s="182">
        <v>6.2</v>
      </c>
      <c r="W6" s="182">
        <v>17.5</v>
      </c>
      <c r="X6" s="182">
        <v>0.6</v>
      </c>
      <c r="Y6" s="182">
        <v>-7.2</v>
      </c>
      <c r="Z6" s="177" t="s">
        <v>1001</v>
      </c>
      <c r="AA6" s="177"/>
      <c r="AB6" s="177"/>
      <c r="AC6" s="177"/>
      <c r="AD6" s="177"/>
      <c r="AE6" s="177"/>
      <c r="AF6" s="183"/>
      <c r="AG6" s="183"/>
      <c r="AH6" s="189">
        <v>46.7</v>
      </c>
      <c r="AI6" s="184">
        <v>17.4498</v>
      </c>
      <c r="AJ6" s="176">
        <v>8</v>
      </c>
      <c r="AK6" s="176"/>
      <c r="AL6" s="182">
        <f>SUM(L6:AH6)</f>
        <v>112.19999999999999</v>
      </c>
      <c r="AM6" s="185" t="s">
        <v>10</v>
      </c>
      <c r="AN6" s="183" t="s">
        <v>999</v>
      </c>
      <c r="AO6" s="183" t="s">
        <v>545</v>
      </c>
      <c r="AP6" s="186">
        <f t="shared" si="0"/>
        <v>5.1888888888888891</v>
      </c>
      <c r="AQ6" s="187">
        <v>9</v>
      </c>
      <c r="AR6" s="188">
        <f t="shared" si="1"/>
        <v>17.5</v>
      </c>
      <c r="AS6" s="188">
        <f t="shared" si="2"/>
        <v>0</v>
      </c>
      <c r="AT6" s="188">
        <f t="shared" si="2"/>
        <v>0</v>
      </c>
      <c r="AU6" s="188">
        <f t="shared" si="3"/>
        <v>46.7</v>
      </c>
      <c r="AV6" s="188">
        <f t="shared" si="4"/>
        <v>46.7</v>
      </c>
    </row>
    <row r="7" spans="1:48">
      <c r="A7" s="176">
        <v>104</v>
      </c>
      <c r="B7" s="180" t="s">
        <v>1002</v>
      </c>
      <c r="C7" s="176" t="s">
        <v>750</v>
      </c>
      <c r="D7" s="176" t="s">
        <v>6</v>
      </c>
      <c r="E7" s="176" t="s">
        <v>15</v>
      </c>
      <c r="F7" s="176" t="s">
        <v>16</v>
      </c>
      <c r="G7" s="176" t="s">
        <v>9</v>
      </c>
      <c r="H7" s="176" t="s">
        <v>10</v>
      </c>
      <c r="I7" s="176" t="s">
        <v>743</v>
      </c>
      <c r="J7" s="176" t="s">
        <v>11</v>
      </c>
      <c r="K7" s="176" t="s">
        <v>263</v>
      </c>
      <c r="L7" s="173"/>
      <c r="M7" s="181"/>
      <c r="N7" s="182">
        <v>-4.7</v>
      </c>
      <c r="O7" s="182">
        <v>0.9</v>
      </c>
      <c r="P7" s="182">
        <v>9.6</v>
      </c>
      <c r="Q7" s="182">
        <v>4.0999999999999996</v>
      </c>
      <c r="R7" s="182">
        <v>0.3</v>
      </c>
      <c r="S7" s="182">
        <v>-4.0999999999999996</v>
      </c>
      <c r="T7" s="182">
        <v>4</v>
      </c>
      <c r="U7" s="182">
        <v>1.9</v>
      </c>
      <c r="V7" s="182">
        <v>3.9</v>
      </c>
      <c r="W7" s="182">
        <v>16.2</v>
      </c>
      <c r="X7" s="182">
        <v>-2.5</v>
      </c>
      <c r="Y7" s="182">
        <v>-10.1</v>
      </c>
      <c r="Z7" s="176">
        <v>4.5</v>
      </c>
      <c r="AA7" s="182">
        <v>4.5</v>
      </c>
      <c r="AB7" s="182">
        <v>-2.6</v>
      </c>
      <c r="AC7" s="182">
        <v>6.8</v>
      </c>
      <c r="AD7" s="182">
        <v>-2.1</v>
      </c>
      <c r="AE7" s="176">
        <v>-3.7</v>
      </c>
      <c r="AF7" s="182">
        <v>5.0999999999999996</v>
      </c>
      <c r="AG7" s="182">
        <v>5</v>
      </c>
      <c r="AH7" s="182">
        <v>-5.6</v>
      </c>
      <c r="AI7" s="184">
        <v>15.9603</v>
      </c>
      <c r="AJ7" s="176">
        <v>8</v>
      </c>
      <c r="AK7" s="176"/>
      <c r="AL7" s="182">
        <f>SUM(L7:AH7)</f>
        <v>31.399999999999991</v>
      </c>
      <c r="AM7" s="185" t="s">
        <v>10</v>
      </c>
      <c r="AN7" s="183" t="s">
        <v>999</v>
      </c>
      <c r="AO7" s="183" t="s">
        <v>545</v>
      </c>
      <c r="AP7" s="186">
        <f t="shared" si="0"/>
        <v>-5.6</v>
      </c>
      <c r="AQ7" s="187">
        <v>1</v>
      </c>
      <c r="AR7" s="188">
        <f t="shared" si="1"/>
        <v>16.2</v>
      </c>
      <c r="AS7" s="188">
        <f t="shared" si="2"/>
        <v>-2.1</v>
      </c>
      <c r="AT7" s="188">
        <f t="shared" si="2"/>
        <v>-3.7</v>
      </c>
      <c r="AU7" s="188">
        <f t="shared" si="3"/>
        <v>-5.6</v>
      </c>
      <c r="AV7" s="188">
        <f t="shared" si="4"/>
        <v>-1.3000000000000007</v>
      </c>
    </row>
    <row r="8" spans="1:48">
      <c r="A8" s="176">
        <v>105</v>
      </c>
      <c r="B8" s="180"/>
      <c r="C8" s="176" t="s">
        <v>751</v>
      </c>
      <c r="D8" s="176" t="s">
        <v>6</v>
      </c>
      <c r="E8" s="176" t="s">
        <v>17</v>
      </c>
      <c r="F8" s="176" t="s">
        <v>18</v>
      </c>
      <c r="G8" s="176" t="s">
        <v>12</v>
      </c>
      <c r="H8" s="176" t="s">
        <v>19</v>
      </c>
      <c r="I8" s="176" t="s">
        <v>743</v>
      </c>
      <c r="J8" s="176" t="s">
        <v>11</v>
      </c>
      <c r="K8" s="176" t="s">
        <v>263</v>
      </c>
      <c r="L8" s="182">
        <v>17.3</v>
      </c>
      <c r="M8" s="182">
        <v>-3.9</v>
      </c>
      <c r="N8" s="182">
        <v>-5.8</v>
      </c>
      <c r="O8" s="182">
        <v>1.3</v>
      </c>
      <c r="P8" s="182">
        <v>7.9</v>
      </c>
      <c r="Q8" s="182">
        <v>2.9</v>
      </c>
      <c r="R8" s="182">
        <v>-0.5</v>
      </c>
      <c r="S8" s="183" t="s">
        <v>20</v>
      </c>
      <c r="T8" s="177"/>
      <c r="U8" s="177"/>
      <c r="V8" s="177"/>
      <c r="W8" s="177"/>
      <c r="X8" s="183" t="s">
        <v>21</v>
      </c>
      <c r="Y8" s="182">
        <v>-11.9</v>
      </c>
      <c r="Z8" s="177"/>
      <c r="AA8" s="177"/>
      <c r="AB8" s="183" t="s">
        <v>22</v>
      </c>
      <c r="AC8" s="182">
        <v>15.1</v>
      </c>
      <c r="AD8" s="182">
        <v>-4</v>
      </c>
      <c r="AE8" s="176">
        <v>-5.3</v>
      </c>
      <c r="AF8" s="182">
        <v>6.7</v>
      </c>
      <c r="AG8" s="182">
        <v>2.9</v>
      </c>
      <c r="AH8" s="182">
        <v>-6.1</v>
      </c>
      <c r="AI8" s="184">
        <v>18.002500000000001</v>
      </c>
      <c r="AJ8" s="176">
        <v>8</v>
      </c>
      <c r="AK8" s="176" t="s">
        <v>752</v>
      </c>
      <c r="AL8" s="182">
        <f>SUM(AC8:AH8)</f>
        <v>9.3000000000000007</v>
      </c>
      <c r="AM8" s="185" t="s">
        <v>619</v>
      </c>
      <c r="AN8" s="183" t="s">
        <v>999</v>
      </c>
      <c r="AO8" s="183" t="s">
        <v>545</v>
      </c>
      <c r="AP8" s="186">
        <f t="shared" si="0"/>
        <v>-6.1</v>
      </c>
      <c r="AQ8" s="187">
        <v>1</v>
      </c>
      <c r="AR8" s="188">
        <f t="shared" si="1"/>
        <v>0</v>
      </c>
      <c r="AS8" s="188">
        <f t="shared" si="2"/>
        <v>-4</v>
      </c>
      <c r="AT8" s="188">
        <f t="shared" si="2"/>
        <v>-5.3</v>
      </c>
      <c r="AU8" s="188">
        <f t="shared" si="3"/>
        <v>-6.1</v>
      </c>
      <c r="AV8" s="188">
        <f t="shared" si="4"/>
        <v>-5.8000000000000007</v>
      </c>
    </row>
    <row r="9" spans="1:48">
      <c r="A9" s="176">
        <v>106</v>
      </c>
      <c r="B9" s="180" t="s">
        <v>1003</v>
      </c>
      <c r="C9" s="176" t="s">
        <v>753</v>
      </c>
      <c r="D9" s="176" t="s">
        <v>6</v>
      </c>
      <c r="E9" s="176" t="s">
        <v>23</v>
      </c>
      <c r="F9" s="176" t="s">
        <v>24</v>
      </c>
      <c r="G9" s="176" t="s">
        <v>12</v>
      </c>
      <c r="H9" s="176" t="s">
        <v>19</v>
      </c>
      <c r="I9" s="176" t="s">
        <v>743</v>
      </c>
      <c r="J9" s="176" t="s">
        <v>11</v>
      </c>
      <c r="K9" s="176" t="s">
        <v>263</v>
      </c>
      <c r="L9" s="182">
        <v>16.7</v>
      </c>
      <c r="M9" s="182">
        <v>-4.7</v>
      </c>
      <c r="N9" s="182">
        <v>-5.7</v>
      </c>
      <c r="O9" s="185" t="s">
        <v>754</v>
      </c>
      <c r="P9" s="189">
        <v>9.8000000000000007</v>
      </c>
      <c r="Q9" s="182">
        <v>3.5</v>
      </c>
      <c r="R9" s="182">
        <v>-1.6</v>
      </c>
      <c r="S9" s="182">
        <v>-3.4</v>
      </c>
      <c r="T9" s="182">
        <v>4.5999999999999996</v>
      </c>
      <c r="U9" s="182">
        <v>0.8</v>
      </c>
      <c r="V9" s="182">
        <v>3.5</v>
      </c>
      <c r="W9" s="182">
        <v>13</v>
      </c>
      <c r="X9" s="182">
        <v>-1.2</v>
      </c>
      <c r="Y9" s="182">
        <v>-12.7</v>
      </c>
      <c r="Z9" s="176">
        <v>5.0999999999999996</v>
      </c>
      <c r="AA9" s="182">
        <v>5.0999999999999996</v>
      </c>
      <c r="AB9" s="182">
        <v>-3.7</v>
      </c>
      <c r="AC9" s="182">
        <v>7</v>
      </c>
      <c r="AD9" s="182">
        <v>-3.4</v>
      </c>
      <c r="AE9" s="176">
        <v>-6.1</v>
      </c>
      <c r="AF9" s="182">
        <v>6.2</v>
      </c>
      <c r="AG9" s="182">
        <v>4.3</v>
      </c>
      <c r="AH9" s="182">
        <v>-6.5</v>
      </c>
      <c r="AI9" s="184">
        <v>18.482900000000001</v>
      </c>
      <c r="AJ9" s="176">
        <v>8</v>
      </c>
      <c r="AK9" s="176"/>
      <c r="AL9" s="182">
        <f>SUM(L9:AH9)</f>
        <v>30.599999999999994</v>
      </c>
      <c r="AM9" s="185" t="s">
        <v>19</v>
      </c>
      <c r="AN9" s="183" t="s">
        <v>999</v>
      </c>
      <c r="AO9" s="183" t="s">
        <v>545</v>
      </c>
      <c r="AP9" s="186">
        <f t="shared" si="0"/>
        <v>-6.5</v>
      </c>
      <c r="AQ9" s="187">
        <v>1</v>
      </c>
      <c r="AR9" s="188">
        <f t="shared" si="1"/>
        <v>13</v>
      </c>
      <c r="AS9" s="188">
        <f t="shared" si="2"/>
        <v>-3.4</v>
      </c>
      <c r="AT9" s="188">
        <f t="shared" si="2"/>
        <v>-6.1</v>
      </c>
      <c r="AU9" s="188">
        <f t="shared" si="3"/>
        <v>-6.5</v>
      </c>
      <c r="AV9" s="188">
        <f t="shared" si="4"/>
        <v>-5.5</v>
      </c>
    </row>
    <row r="10" spans="1:48">
      <c r="A10" s="176">
        <v>107</v>
      </c>
      <c r="B10" s="180"/>
      <c r="C10" s="176" t="s">
        <v>755</v>
      </c>
      <c r="D10" s="176" t="s">
        <v>6</v>
      </c>
      <c r="E10" s="176" t="s">
        <v>25</v>
      </c>
      <c r="F10" s="176" t="s">
        <v>26</v>
      </c>
      <c r="G10" s="176" t="s">
        <v>12</v>
      </c>
      <c r="H10" s="176" t="s">
        <v>19</v>
      </c>
      <c r="I10" s="176" t="s">
        <v>743</v>
      </c>
      <c r="J10" s="176" t="s">
        <v>11</v>
      </c>
      <c r="K10" s="176" t="s">
        <v>263</v>
      </c>
      <c r="L10" s="182">
        <v>12.4</v>
      </c>
      <c r="M10" s="182">
        <v>-2.9</v>
      </c>
      <c r="N10" s="182">
        <v>-3.7</v>
      </c>
      <c r="O10" s="185" t="s">
        <v>754</v>
      </c>
      <c r="P10" s="189">
        <v>8.6999999999999993</v>
      </c>
      <c r="Q10" s="182">
        <v>-0.7</v>
      </c>
      <c r="R10" s="182">
        <v>4</v>
      </c>
      <c r="S10" s="182">
        <v>-4.0999999999999996</v>
      </c>
      <c r="T10" s="182">
        <v>2.6</v>
      </c>
      <c r="U10" s="182">
        <v>0.7</v>
      </c>
      <c r="V10" s="182">
        <v>1.7</v>
      </c>
      <c r="W10" s="182">
        <v>9.5</v>
      </c>
      <c r="X10" s="182">
        <v>-1.4</v>
      </c>
      <c r="Y10" s="183" t="s">
        <v>756</v>
      </c>
      <c r="Z10" s="177"/>
      <c r="AA10" s="177"/>
      <c r="AB10" s="183">
        <v>-3.1</v>
      </c>
      <c r="AC10" s="173" t="s">
        <v>744</v>
      </c>
      <c r="AD10" s="177"/>
      <c r="AE10" s="177">
        <v>2.7</v>
      </c>
      <c r="AF10" s="173" t="s">
        <v>744</v>
      </c>
      <c r="AG10" s="183"/>
      <c r="AH10" s="183">
        <v>1.4</v>
      </c>
      <c r="AI10" s="184">
        <v>19.1768</v>
      </c>
      <c r="AJ10" s="176">
        <v>8</v>
      </c>
      <c r="AK10" s="176"/>
      <c r="AL10" s="182">
        <f>SUM(L10:AH10)</f>
        <v>27.799999999999997</v>
      </c>
      <c r="AM10" s="185" t="s">
        <v>19</v>
      </c>
      <c r="AN10" s="183" t="s">
        <v>999</v>
      </c>
      <c r="AO10" s="183" t="s">
        <v>545</v>
      </c>
      <c r="AP10" s="186">
        <f t="shared" si="0"/>
        <v>0.46666666666666662</v>
      </c>
      <c r="AQ10" s="187">
        <v>3</v>
      </c>
      <c r="AR10" s="188">
        <f t="shared" si="1"/>
        <v>9.5</v>
      </c>
      <c r="AS10" s="188">
        <f t="shared" si="2"/>
        <v>0</v>
      </c>
      <c r="AT10" s="188">
        <f t="shared" si="2"/>
        <v>2.7</v>
      </c>
      <c r="AU10" s="188">
        <f t="shared" si="3"/>
        <v>1.4</v>
      </c>
      <c r="AV10" s="188">
        <f t="shared" si="4"/>
        <v>4.0999999999999996</v>
      </c>
    </row>
    <row r="11" spans="1:48">
      <c r="A11" s="176">
        <v>108</v>
      </c>
      <c r="B11" s="180"/>
      <c r="C11" s="176" t="s">
        <v>757</v>
      </c>
      <c r="D11" s="176" t="s">
        <v>6</v>
      </c>
      <c r="E11" s="176" t="s">
        <v>27</v>
      </c>
      <c r="F11" s="176" t="s">
        <v>28</v>
      </c>
      <c r="G11" s="176" t="s">
        <v>9</v>
      </c>
      <c r="H11" s="176" t="s">
        <v>10</v>
      </c>
      <c r="I11" s="176" t="s">
        <v>743</v>
      </c>
      <c r="J11" s="176" t="s">
        <v>11</v>
      </c>
      <c r="K11" s="176" t="s">
        <v>263</v>
      </c>
      <c r="L11" s="173"/>
      <c r="M11" s="181"/>
      <c r="N11" s="185" t="s">
        <v>744</v>
      </c>
      <c r="O11" s="177"/>
      <c r="P11" s="189">
        <v>6.1</v>
      </c>
      <c r="Q11" s="182">
        <v>3.2</v>
      </c>
      <c r="R11" s="182">
        <v>0.4</v>
      </c>
      <c r="S11" s="183" t="s">
        <v>754</v>
      </c>
      <c r="T11" s="183">
        <v>1.2</v>
      </c>
      <c r="U11" s="185" t="s">
        <v>756</v>
      </c>
      <c r="V11" s="177"/>
      <c r="W11" s="177"/>
      <c r="X11" s="183">
        <v>14.5</v>
      </c>
      <c r="Y11" s="183" t="s">
        <v>756</v>
      </c>
      <c r="Z11" s="177"/>
      <c r="AA11" s="177"/>
      <c r="AB11" s="183">
        <v>7.6</v>
      </c>
      <c r="AC11" s="173" t="s">
        <v>744</v>
      </c>
      <c r="AD11" s="177"/>
      <c r="AE11" s="177">
        <v>-4.4000000000000004</v>
      </c>
      <c r="AF11" s="173" t="s">
        <v>744</v>
      </c>
      <c r="AG11" s="183"/>
      <c r="AH11" s="183">
        <v>0.8</v>
      </c>
      <c r="AI11" s="184">
        <v>25.279800000000002</v>
      </c>
      <c r="AJ11" s="176">
        <v>8</v>
      </c>
      <c r="AK11" s="176"/>
      <c r="AL11" s="182">
        <f>SUM(L11:AH11)</f>
        <v>29.400000000000002</v>
      </c>
      <c r="AM11" s="185" t="s">
        <v>10</v>
      </c>
      <c r="AN11" s="183" t="s">
        <v>999</v>
      </c>
      <c r="AO11" s="183" t="s">
        <v>545</v>
      </c>
      <c r="AP11" s="186">
        <f t="shared" si="0"/>
        <v>0.26666666666666666</v>
      </c>
      <c r="AQ11" s="187">
        <v>3</v>
      </c>
      <c r="AR11" s="188">
        <f t="shared" si="1"/>
        <v>0</v>
      </c>
      <c r="AS11" s="188">
        <f t="shared" si="2"/>
        <v>0</v>
      </c>
      <c r="AT11" s="188">
        <f t="shared" si="2"/>
        <v>-4.4000000000000004</v>
      </c>
      <c r="AU11" s="188">
        <f t="shared" si="3"/>
        <v>0.8</v>
      </c>
      <c r="AV11" s="188">
        <f t="shared" si="4"/>
        <v>-3.6000000000000005</v>
      </c>
    </row>
    <row r="12" spans="1:48">
      <c r="A12" s="176">
        <v>109</v>
      </c>
      <c r="B12" s="180"/>
      <c r="C12" s="176" t="s">
        <v>758</v>
      </c>
      <c r="D12" s="176" t="s">
        <v>6</v>
      </c>
      <c r="E12" s="176" t="s">
        <v>29</v>
      </c>
      <c r="F12" s="176" t="s">
        <v>30</v>
      </c>
      <c r="G12" s="176" t="s">
        <v>9</v>
      </c>
      <c r="H12" s="176" t="s">
        <v>31</v>
      </c>
      <c r="I12" s="176" t="s">
        <v>743</v>
      </c>
      <c r="J12" s="176" t="s">
        <v>11</v>
      </c>
      <c r="K12" s="176" t="s">
        <v>263</v>
      </c>
      <c r="L12" s="173"/>
      <c r="M12" s="177"/>
      <c r="N12" s="177"/>
      <c r="O12" s="177"/>
      <c r="P12" s="181"/>
      <c r="Q12" s="182">
        <v>-0.1</v>
      </c>
      <c r="R12" s="182">
        <v>-0.2</v>
      </c>
      <c r="S12" s="183" t="s">
        <v>754</v>
      </c>
      <c r="T12" s="183">
        <v>1.5</v>
      </c>
      <c r="U12" s="185" t="s">
        <v>759</v>
      </c>
      <c r="V12" s="177"/>
      <c r="W12" s="177"/>
      <c r="X12" s="177"/>
      <c r="Y12" s="177"/>
      <c r="Z12" s="177"/>
      <c r="AA12" s="177"/>
      <c r="AB12" s="189">
        <v>14.8</v>
      </c>
      <c r="AC12" s="173" t="s">
        <v>744</v>
      </c>
      <c r="AD12" s="177"/>
      <c r="AE12" s="177">
        <v>-9.1</v>
      </c>
      <c r="AF12" s="173" t="s">
        <v>744</v>
      </c>
      <c r="AG12" s="183"/>
      <c r="AH12" s="183">
        <v>-0.8</v>
      </c>
      <c r="AI12" s="184">
        <v>32.000999999999998</v>
      </c>
      <c r="AJ12" s="176">
        <v>8</v>
      </c>
      <c r="AK12" s="176"/>
      <c r="AL12" s="182">
        <f>SUM(L12:AH12)</f>
        <v>6.1000000000000005</v>
      </c>
      <c r="AM12" s="185" t="s">
        <v>31</v>
      </c>
      <c r="AN12" s="183" t="s">
        <v>999</v>
      </c>
      <c r="AO12" s="183" t="s">
        <v>545</v>
      </c>
      <c r="AP12" s="186">
        <f t="shared" si="0"/>
        <v>-0.26666666666666666</v>
      </c>
      <c r="AQ12" s="187">
        <v>3</v>
      </c>
      <c r="AR12" s="188">
        <f t="shared" si="1"/>
        <v>0</v>
      </c>
      <c r="AS12" s="188">
        <f t="shared" si="2"/>
        <v>0</v>
      </c>
      <c r="AT12" s="188">
        <f t="shared" si="2"/>
        <v>-9.1</v>
      </c>
      <c r="AU12" s="188">
        <f t="shared" si="3"/>
        <v>-0.8</v>
      </c>
      <c r="AV12" s="188">
        <f t="shared" si="4"/>
        <v>-9.9</v>
      </c>
    </row>
    <row r="13" spans="1:48">
      <c r="A13" s="176">
        <v>110</v>
      </c>
      <c r="B13" s="180"/>
      <c r="C13" s="176" t="s">
        <v>760</v>
      </c>
      <c r="D13" s="176" t="s">
        <v>6</v>
      </c>
      <c r="E13" s="176" t="s">
        <v>32</v>
      </c>
      <c r="F13" s="176" t="s">
        <v>33</v>
      </c>
      <c r="G13" s="176" t="s">
        <v>12</v>
      </c>
      <c r="H13" s="176" t="s">
        <v>19</v>
      </c>
      <c r="I13" s="176" t="s">
        <v>743</v>
      </c>
      <c r="J13" s="176" t="s">
        <v>11</v>
      </c>
      <c r="K13" s="176" t="s">
        <v>263</v>
      </c>
      <c r="L13" s="182">
        <v>26.1</v>
      </c>
      <c r="M13" s="182">
        <v>-4.2</v>
      </c>
      <c r="N13" s="182">
        <v>-6.6</v>
      </c>
      <c r="O13" s="185" t="s">
        <v>754</v>
      </c>
      <c r="P13" s="189">
        <v>15.7</v>
      </c>
      <c r="Q13" s="182">
        <v>1</v>
      </c>
      <c r="R13" s="182">
        <v>0.8</v>
      </c>
      <c r="S13" s="182">
        <v>-1</v>
      </c>
      <c r="T13" s="182">
        <v>1.9</v>
      </c>
      <c r="U13" s="182">
        <v>1.1000000000000001</v>
      </c>
      <c r="V13" s="182">
        <v>2.7</v>
      </c>
      <c r="W13" s="182">
        <v>11.3</v>
      </c>
      <c r="X13" s="182">
        <v>-0.4</v>
      </c>
      <c r="Y13" s="183" t="s">
        <v>756</v>
      </c>
      <c r="Z13" s="177"/>
      <c r="AA13" s="177"/>
      <c r="AB13" s="183">
        <v>1.9</v>
      </c>
      <c r="AC13" s="173" t="s">
        <v>744</v>
      </c>
      <c r="AD13" s="177"/>
      <c r="AE13" s="177">
        <v>3.4</v>
      </c>
      <c r="AF13" s="173" t="s">
        <v>744</v>
      </c>
      <c r="AG13" s="183"/>
      <c r="AH13" s="183">
        <v>3.7</v>
      </c>
      <c r="AI13" s="184">
        <v>16.359100000000002</v>
      </c>
      <c r="AJ13" s="176">
        <v>8</v>
      </c>
      <c r="AK13" s="176"/>
      <c r="AL13" s="182">
        <f>SUM(L13:AH13)</f>
        <v>57.4</v>
      </c>
      <c r="AM13" s="185" t="s">
        <v>19</v>
      </c>
      <c r="AN13" s="183" t="s">
        <v>999</v>
      </c>
      <c r="AO13" s="183" t="s">
        <v>545</v>
      </c>
      <c r="AP13" s="186">
        <f t="shared" si="0"/>
        <v>1.2333333333333334</v>
      </c>
      <c r="AQ13" s="187">
        <v>3</v>
      </c>
      <c r="AR13" s="188">
        <f t="shared" si="1"/>
        <v>11.3</v>
      </c>
      <c r="AS13" s="188">
        <f t="shared" si="2"/>
        <v>0</v>
      </c>
      <c r="AT13" s="188">
        <f t="shared" si="2"/>
        <v>3.4</v>
      </c>
      <c r="AU13" s="188">
        <f t="shared" si="3"/>
        <v>3.7</v>
      </c>
      <c r="AV13" s="188">
        <f t="shared" si="4"/>
        <v>7.1</v>
      </c>
    </row>
    <row r="14" spans="1:48">
      <c r="A14" s="176">
        <v>111</v>
      </c>
      <c r="B14" s="180"/>
      <c r="C14" s="176" t="s">
        <v>1004</v>
      </c>
      <c r="D14" s="176" t="s">
        <v>6</v>
      </c>
      <c r="E14" s="176" t="s">
        <v>34</v>
      </c>
      <c r="F14" s="176" t="s">
        <v>35</v>
      </c>
      <c r="G14" s="176" t="s">
        <v>9</v>
      </c>
      <c r="H14" s="176" t="s">
        <v>36</v>
      </c>
      <c r="I14" s="176" t="s">
        <v>743</v>
      </c>
      <c r="J14" s="176" t="s">
        <v>11</v>
      </c>
      <c r="K14" s="176" t="s">
        <v>263</v>
      </c>
      <c r="L14" s="185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77"/>
      <c r="AA14" s="177"/>
      <c r="AB14" s="183"/>
      <c r="AC14" s="177"/>
      <c r="AD14" s="177"/>
      <c r="AE14" s="177"/>
      <c r="AF14" s="177"/>
      <c r="AG14" s="183" t="s">
        <v>37</v>
      </c>
      <c r="AH14" s="183"/>
      <c r="AI14" s="184">
        <v>20.770499999999998</v>
      </c>
      <c r="AJ14" s="176">
        <v>8</v>
      </c>
      <c r="AK14" s="176"/>
      <c r="AL14" s="182"/>
      <c r="AM14" s="185"/>
      <c r="AN14" s="183"/>
      <c r="AO14" s="183"/>
      <c r="AP14" s="186"/>
      <c r="AQ14" s="187"/>
      <c r="AR14" s="188">
        <f t="shared" si="1"/>
        <v>0</v>
      </c>
      <c r="AS14" s="188">
        <f t="shared" si="2"/>
        <v>0</v>
      </c>
      <c r="AT14" s="188">
        <f t="shared" si="2"/>
        <v>0</v>
      </c>
      <c r="AU14" s="188">
        <f t="shared" si="3"/>
        <v>0</v>
      </c>
      <c r="AV14" s="188">
        <f t="shared" si="4"/>
        <v>0</v>
      </c>
    </row>
    <row r="15" spans="1:48">
      <c r="A15" s="176">
        <v>201</v>
      </c>
      <c r="B15" s="180" t="s">
        <v>1003</v>
      </c>
      <c r="C15" s="176" t="s">
        <v>761</v>
      </c>
      <c r="D15" s="176" t="s">
        <v>38</v>
      </c>
      <c r="E15" s="176" t="s">
        <v>39</v>
      </c>
      <c r="F15" s="176" t="s">
        <v>40</v>
      </c>
      <c r="G15" s="176" t="s">
        <v>9</v>
      </c>
      <c r="H15" s="176" t="s">
        <v>19</v>
      </c>
      <c r="I15" s="176" t="s">
        <v>743</v>
      </c>
      <c r="J15" s="176" t="s">
        <v>11</v>
      </c>
      <c r="K15" s="176" t="s">
        <v>263</v>
      </c>
      <c r="L15" s="182">
        <v>25.6</v>
      </c>
      <c r="M15" s="182">
        <v>1.3</v>
      </c>
      <c r="N15" s="182">
        <v>-3.9</v>
      </c>
      <c r="O15" s="182">
        <v>4.3</v>
      </c>
      <c r="P15" s="182">
        <v>11.6</v>
      </c>
      <c r="Q15" s="182">
        <v>6.5</v>
      </c>
      <c r="R15" s="182">
        <v>1.4</v>
      </c>
      <c r="S15" s="182">
        <v>-1.4</v>
      </c>
      <c r="T15" s="182">
        <v>5.7</v>
      </c>
      <c r="U15" s="182">
        <v>1.7</v>
      </c>
      <c r="V15" s="182">
        <v>3.5</v>
      </c>
      <c r="W15" s="182">
        <v>23</v>
      </c>
      <c r="X15" s="182">
        <v>3.3</v>
      </c>
      <c r="Y15" s="182">
        <v>-8.6999999999999993</v>
      </c>
      <c r="Z15" s="176">
        <v>2.9</v>
      </c>
      <c r="AA15" s="182">
        <v>5.7</v>
      </c>
      <c r="AB15" s="182">
        <v>-3</v>
      </c>
      <c r="AC15" s="182">
        <v>9.1</v>
      </c>
      <c r="AD15" s="182">
        <v>-1.4</v>
      </c>
      <c r="AE15" s="176">
        <v>-3.6</v>
      </c>
      <c r="AF15" s="182">
        <v>6.2</v>
      </c>
      <c r="AG15" s="182">
        <v>4.8</v>
      </c>
      <c r="AH15" s="182">
        <v>-6</v>
      </c>
      <c r="AI15" s="184">
        <v>15.531700000000001</v>
      </c>
      <c r="AJ15" s="176">
        <v>8</v>
      </c>
      <c r="AK15" s="176"/>
      <c r="AL15" s="182">
        <f>SUM(L15:AH15)</f>
        <v>88.600000000000009</v>
      </c>
      <c r="AM15" s="185" t="s">
        <v>19</v>
      </c>
      <c r="AN15" s="183" t="s">
        <v>999</v>
      </c>
      <c r="AO15" s="183" t="s">
        <v>545</v>
      </c>
      <c r="AP15" s="186">
        <f t="shared" si="0"/>
        <v>-6</v>
      </c>
      <c r="AQ15" s="187">
        <v>1</v>
      </c>
      <c r="AR15" s="188">
        <f t="shared" si="1"/>
        <v>23</v>
      </c>
      <c r="AS15" s="188">
        <f t="shared" si="2"/>
        <v>-1.4</v>
      </c>
      <c r="AT15" s="188">
        <f t="shared" si="2"/>
        <v>-3.6</v>
      </c>
      <c r="AU15" s="188">
        <f t="shared" si="3"/>
        <v>-6</v>
      </c>
      <c r="AV15" s="188">
        <f t="shared" si="4"/>
        <v>0</v>
      </c>
    </row>
    <row r="16" spans="1:48">
      <c r="A16" s="176">
        <v>202</v>
      </c>
      <c r="B16" s="180" t="s">
        <v>1000</v>
      </c>
      <c r="C16" s="176" t="s">
        <v>762</v>
      </c>
      <c r="D16" s="176" t="s">
        <v>38</v>
      </c>
      <c r="E16" s="176" t="s">
        <v>41</v>
      </c>
      <c r="F16" s="176" t="s">
        <v>42</v>
      </c>
      <c r="G16" s="176" t="s">
        <v>9</v>
      </c>
      <c r="H16" s="176" t="s">
        <v>31</v>
      </c>
      <c r="I16" s="176" t="s">
        <v>743</v>
      </c>
      <c r="J16" s="176" t="s">
        <v>763</v>
      </c>
      <c r="K16" s="176" t="s">
        <v>264</v>
      </c>
      <c r="L16" s="173"/>
      <c r="M16" s="177"/>
      <c r="N16" s="177"/>
      <c r="O16" s="177"/>
      <c r="P16" s="181"/>
      <c r="Q16" s="182">
        <v>29.5</v>
      </c>
      <c r="R16" s="182">
        <v>13.2</v>
      </c>
      <c r="S16" s="182">
        <v>-23.8</v>
      </c>
      <c r="T16" s="182">
        <v>32.799999999999997</v>
      </c>
      <c r="U16" s="182">
        <v>2.4</v>
      </c>
      <c r="V16" s="182">
        <v>17.2</v>
      </c>
      <c r="W16" s="182">
        <v>36.799999999999997</v>
      </c>
      <c r="X16" s="182">
        <v>6.4</v>
      </c>
      <c r="Y16" s="182">
        <v>4.7</v>
      </c>
      <c r="Z16" s="176">
        <v>-8.8000000000000007</v>
      </c>
      <c r="AA16" s="182">
        <v>9.1999999999999993</v>
      </c>
      <c r="AB16" s="182">
        <v>13.3</v>
      </c>
      <c r="AC16" s="182">
        <v>38.1</v>
      </c>
      <c r="AD16" s="182">
        <v>-9.9</v>
      </c>
      <c r="AE16" s="176">
        <v>-0.3</v>
      </c>
      <c r="AF16" s="182">
        <v>7.5</v>
      </c>
      <c r="AG16" s="182">
        <v>7</v>
      </c>
      <c r="AH16" s="182">
        <v>-6.3</v>
      </c>
      <c r="AI16" s="184">
        <v>11.693099999999999</v>
      </c>
      <c r="AJ16" s="176">
        <v>8</v>
      </c>
      <c r="AK16" s="176"/>
      <c r="AL16" s="182">
        <f>SUM(L16:AH16)</f>
        <v>168.99999999999997</v>
      </c>
      <c r="AM16" s="185" t="s">
        <v>31</v>
      </c>
      <c r="AN16" s="183" t="s">
        <v>999</v>
      </c>
      <c r="AO16" s="183" t="s">
        <v>545</v>
      </c>
      <c r="AP16" s="186">
        <f t="shared" si="0"/>
        <v>-6.3</v>
      </c>
      <c r="AQ16" s="187">
        <v>1</v>
      </c>
      <c r="AR16" s="188">
        <f t="shared" si="1"/>
        <v>36.799999999999997</v>
      </c>
      <c r="AS16" s="188">
        <f t="shared" si="2"/>
        <v>-9.9</v>
      </c>
      <c r="AT16" s="188">
        <f t="shared" si="2"/>
        <v>-0.3</v>
      </c>
      <c r="AU16" s="188">
        <f t="shared" si="3"/>
        <v>-6.3</v>
      </c>
      <c r="AV16" s="188">
        <f t="shared" si="4"/>
        <v>-2.0000000000000009</v>
      </c>
    </row>
    <row r="17" spans="1:48">
      <c r="A17" s="176">
        <v>203</v>
      </c>
      <c r="B17" s="180" t="s">
        <v>1000</v>
      </c>
      <c r="C17" s="176" t="s">
        <v>764</v>
      </c>
      <c r="D17" s="176" t="s">
        <v>38</v>
      </c>
      <c r="E17" s="176" t="s">
        <v>43</v>
      </c>
      <c r="F17" s="176" t="s">
        <v>44</v>
      </c>
      <c r="G17" s="176" t="s">
        <v>9</v>
      </c>
      <c r="H17" s="176" t="s">
        <v>19</v>
      </c>
      <c r="I17" s="176" t="s">
        <v>743</v>
      </c>
      <c r="J17" s="176" t="s">
        <v>763</v>
      </c>
      <c r="K17" s="176" t="s">
        <v>264</v>
      </c>
      <c r="L17" s="182">
        <v>34.299999999999997</v>
      </c>
      <c r="M17" s="182">
        <v>3.6</v>
      </c>
      <c r="N17" s="182">
        <v>-5</v>
      </c>
      <c r="O17" s="182">
        <v>6.1</v>
      </c>
      <c r="P17" s="182">
        <v>8.4</v>
      </c>
      <c r="Q17" s="182">
        <v>7.4</v>
      </c>
      <c r="R17" s="182">
        <v>8.4</v>
      </c>
      <c r="S17" s="182">
        <v>-6.2</v>
      </c>
      <c r="T17" s="182">
        <v>4.0999999999999996</v>
      </c>
      <c r="U17" s="182">
        <v>2.5</v>
      </c>
      <c r="V17" s="182">
        <v>9</v>
      </c>
      <c r="W17" s="182">
        <v>26.4</v>
      </c>
      <c r="X17" s="182">
        <v>-0.3</v>
      </c>
      <c r="Y17" s="182">
        <v>-9.5</v>
      </c>
      <c r="Z17" s="176">
        <v>0.5</v>
      </c>
      <c r="AA17" s="182">
        <v>4.0999999999999996</v>
      </c>
      <c r="AB17" s="182">
        <v>-2.1</v>
      </c>
      <c r="AC17" s="182">
        <v>10.199999999999999</v>
      </c>
      <c r="AD17" s="182">
        <v>-3.1</v>
      </c>
      <c r="AE17" s="176">
        <v>-2.5</v>
      </c>
      <c r="AF17" s="182">
        <v>4.5</v>
      </c>
      <c r="AG17" s="182">
        <v>5</v>
      </c>
      <c r="AH17" s="182">
        <v>-5.5</v>
      </c>
      <c r="AI17" s="184">
        <v>11.6496</v>
      </c>
      <c r="AJ17" s="176">
        <v>8</v>
      </c>
      <c r="AK17" s="176"/>
      <c r="AL17" s="182">
        <f>SUM(L17:AH17)</f>
        <v>100.30000000000001</v>
      </c>
      <c r="AM17" s="185" t="s">
        <v>19</v>
      </c>
      <c r="AN17" s="183" t="s">
        <v>999</v>
      </c>
      <c r="AO17" s="183" t="s">
        <v>545</v>
      </c>
      <c r="AP17" s="186">
        <f t="shared" si="0"/>
        <v>-5.5</v>
      </c>
      <c r="AQ17" s="187">
        <v>1</v>
      </c>
      <c r="AR17" s="188">
        <f t="shared" si="1"/>
        <v>26.4</v>
      </c>
      <c r="AS17" s="188">
        <f t="shared" si="2"/>
        <v>-3.1</v>
      </c>
      <c r="AT17" s="188">
        <f t="shared" si="2"/>
        <v>-2.5</v>
      </c>
      <c r="AU17" s="188">
        <f t="shared" si="3"/>
        <v>-5.5</v>
      </c>
      <c r="AV17" s="188">
        <f t="shared" si="4"/>
        <v>-1.5999999999999996</v>
      </c>
    </row>
    <row r="18" spans="1:48">
      <c r="A18" s="176">
        <v>204</v>
      </c>
      <c r="B18" s="180" t="s">
        <v>1002</v>
      </c>
      <c r="C18" s="176" t="s">
        <v>765</v>
      </c>
      <c r="D18" s="176" t="s">
        <v>38</v>
      </c>
      <c r="E18" s="176" t="s">
        <v>45</v>
      </c>
      <c r="F18" s="176" t="s">
        <v>46</v>
      </c>
      <c r="G18" s="176" t="s">
        <v>9</v>
      </c>
      <c r="H18" s="176" t="s">
        <v>19</v>
      </c>
      <c r="I18" s="176" t="s">
        <v>743</v>
      </c>
      <c r="J18" s="176" t="s">
        <v>763</v>
      </c>
      <c r="K18" s="176" t="s">
        <v>264</v>
      </c>
      <c r="L18" s="185" t="s">
        <v>754</v>
      </c>
      <c r="M18" s="189">
        <v>83.4</v>
      </c>
      <c r="N18" s="182">
        <v>16.3</v>
      </c>
      <c r="O18" s="182">
        <v>10.7</v>
      </c>
      <c r="P18" s="182">
        <v>14.5</v>
      </c>
      <c r="Q18" s="182">
        <v>27.2</v>
      </c>
      <c r="R18" s="182">
        <v>15.7</v>
      </c>
      <c r="S18" s="182">
        <v>-8.9</v>
      </c>
      <c r="T18" s="182" t="s">
        <v>47</v>
      </c>
      <c r="U18" s="182" t="s">
        <v>47</v>
      </c>
      <c r="V18" s="182">
        <v>20.8</v>
      </c>
      <c r="W18" s="182">
        <v>41.1</v>
      </c>
      <c r="X18" s="182">
        <v>8.5</v>
      </c>
      <c r="Y18" s="182">
        <v>-5</v>
      </c>
      <c r="Z18" s="176">
        <v>-0.2</v>
      </c>
      <c r="AA18" s="182">
        <v>8.1999999999999993</v>
      </c>
      <c r="AB18" s="182">
        <v>10.9</v>
      </c>
      <c r="AC18" s="182">
        <v>22</v>
      </c>
      <c r="AD18" s="182">
        <v>-1.4</v>
      </c>
      <c r="AE18" s="176">
        <v>5.3</v>
      </c>
      <c r="AF18" s="182">
        <v>5.7</v>
      </c>
      <c r="AG18" s="182">
        <v>13.3</v>
      </c>
      <c r="AH18" s="182">
        <v>0</v>
      </c>
      <c r="AI18" s="184">
        <v>8.9280000000000008</v>
      </c>
      <c r="AJ18" s="176">
        <v>8</v>
      </c>
      <c r="AK18" s="176" t="s">
        <v>766</v>
      </c>
      <c r="AL18" s="182">
        <f>SUM(V18:AH18)</f>
        <v>129.20000000000002</v>
      </c>
      <c r="AM18" s="185" t="s">
        <v>19</v>
      </c>
      <c r="AN18" s="183" t="s">
        <v>999</v>
      </c>
      <c r="AO18" s="183" t="s">
        <v>545</v>
      </c>
      <c r="AP18" s="186">
        <f t="shared" si="0"/>
        <v>0</v>
      </c>
      <c r="AQ18" s="187">
        <v>1</v>
      </c>
      <c r="AR18" s="188">
        <f t="shared" si="1"/>
        <v>41.1</v>
      </c>
      <c r="AS18" s="188">
        <f t="shared" si="2"/>
        <v>-1.4</v>
      </c>
      <c r="AT18" s="188">
        <f t="shared" si="2"/>
        <v>5.3</v>
      </c>
      <c r="AU18" s="188">
        <f t="shared" si="3"/>
        <v>0</v>
      </c>
      <c r="AV18" s="188">
        <f t="shared" si="4"/>
        <v>22.9</v>
      </c>
    </row>
    <row r="19" spans="1:48">
      <c r="A19" s="176">
        <v>205</v>
      </c>
      <c r="B19" s="180" t="s">
        <v>1005</v>
      </c>
      <c r="C19" s="176" t="s">
        <v>767</v>
      </c>
      <c r="D19" s="176" t="s">
        <v>38</v>
      </c>
      <c r="E19" s="176" t="s">
        <v>48</v>
      </c>
      <c r="F19" s="176" t="s">
        <v>49</v>
      </c>
      <c r="G19" s="176" t="s">
        <v>9</v>
      </c>
      <c r="H19" s="176" t="s">
        <v>19</v>
      </c>
      <c r="I19" s="176" t="s">
        <v>743</v>
      </c>
      <c r="J19" s="176" t="s">
        <v>763</v>
      </c>
      <c r="K19" s="176" t="s">
        <v>265</v>
      </c>
      <c r="L19" s="185" t="s">
        <v>754</v>
      </c>
      <c r="M19" s="189">
        <v>49.3</v>
      </c>
      <c r="N19" s="182">
        <v>5.4</v>
      </c>
      <c r="O19" s="182">
        <v>6.1</v>
      </c>
      <c r="P19" s="182">
        <v>13.4</v>
      </c>
      <c r="Q19" s="182">
        <v>6.5</v>
      </c>
      <c r="R19" s="182">
        <v>6.5</v>
      </c>
      <c r="S19" s="182">
        <v>-4.4000000000000004</v>
      </c>
      <c r="T19" s="182">
        <v>2</v>
      </c>
      <c r="U19" s="182">
        <v>6.2</v>
      </c>
      <c r="V19" s="182">
        <v>9.3000000000000007</v>
      </c>
      <c r="W19" s="182">
        <v>13.9</v>
      </c>
      <c r="X19" s="182">
        <v>10</v>
      </c>
      <c r="Y19" s="182">
        <v>-1.2</v>
      </c>
      <c r="Z19" s="176">
        <v>7.7</v>
      </c>
      <c r="AA19" s="182">
        <v>3.8</v>
      </c>
      <c r="AB19" s="182">
        <v>4</v>
      </c>
      <c r="AC19" s="182">
        <v>10</v>
      </c>
      <c r="AD19" s="182">
        <v>0.8</v>
      </c>
      <c r="AE19" s="176">
        <v>3.4</v>
      </c>
      <c r="AF19" s="182">
        <v>4.0999999999999996</v>
      </c>
      <c r="AG19" s="182">
        <v>5.6</v>
      </c>
      <c r="AH19" s="182">
        <v>-1.9</v>
      </c>
      <c r="AI19" s="184">
        <v>9.8008000000000006</v>
      </c>
      <c r="AJ19" s="176">
        <v>8</v>
      </c>
      <c r="AK19" s="176"/>
      <c r="AL19" s="182">
        <f>SUM(L19:AH19)</f>
        <v>160.5</v>
      </c>
      <c r="AM19" s="185" t="s">
        <v>19</v>
      </c>
      <c r="AN19" s="183" t="s">
        <v>999</v>
      </c>
      <c r="AO19" s="183" t="s">
        <v>545</v>
      </c>
      <c r="AP19" s="186">
        <f t="shared" si="0"/>
        <v>-1.9</v>
      </c>
      <c r="AQ19" s="187">
        <v>1</v>
      </c>
      <c r="AR19" s="188">
        <f t="shared" si="1"/>
        <v>13.9</v>
      </c>
      <c r="AS19" s="188">
        <f t="shared" si="2"/>
        <v>0.8</v>
      </c>
      <c r="AT19" s="188">
        <f t="shared" si="2"/>
        <v>3.4</v>
      </c>
      <c r="AU19" s="188">
        <f t="shared" si="3"/>
        <v>-1.9</v>
      </c>
      <c r="AV19" s="188">
        <f t="shared" si="4"/>
        <v>12</v>
      </c>
    </row>
    <row r="20" spans="1:48">
      <c r="A20" s="176">
        <v>206</v>
      </c>
      <c r="B20" s="180" t="s">
        <v>1002</v>
      </c>
      <c r="C20" s="176" t="s">
        <v>768</v>
      </c>
      <c r="D20" s="176" t="s">
        <v>38</v>
      </c>
      <c r="E20" s="176" t="s">
        <v>50</v>
      </c>
      <c r="F20" s="176" t="s">
        <v>51</v>
      </c>
      <c r="G20" s="176" t="s">
        <v>9</v>
      </c>
      <c r="H20" s="176" t="s">
        <v>19</v>
      </c>
      <c r="I20" s="176" t="s">
        <v>743</v>
      </c>
      <c r="J20" s="176" t="s">
        <v>763</v>
      </c>
      <c r="K20" s="176" t="s">
        <v>265</v>
      </c>
      <c r="L20" s="185" t="s">
        <v>754</v>
      </c>
      <c r="M20" s="189">
        <v>74</v>
      </c>
      <c r="N20" s="182">
        <v>9.9</v>
      </c>
      <c r="O20" s="182">
        <v>4.5999999999999996</v>
      </c>
      <c r="P20" s="182">
        <v>15.7</v>
      </c>
      <c r="Q20" s="182">
        <v>21.9</v>
      </c>
      <c r="R20" s="182">
        <v>22.6</v>
      </c>
      <c r="S20" s="182">
        <v>-10.5</v>
      </c>
      <c r="T20" s="182">
        <v>16.399999999999999</v>
      </c>
      <c r="U20" s="182">
        <v>6.1</v>
      </c>
      <c r="V20" s="182">
        <v>5.6</v>
      </c>
      <c r="W20" s="182">
        <v>24.1</v>
      </c>
      <c r="X20" s="182">
        <v>2.9</v>
      </c>
      <c r="Y20" s="182">
        <v>-3.1</v>
      </c>
      <c r="Z20" s="176">
        <v>7</v>
      </c>
      <c r="AA20" s="182">
        <v>5.0999999999999996</v>
      </c>
      <c r="AB20" s="182">
        <v>1.6</v>
      </c>
      <c r="AC20" s="182">
        <v>4.7</v>
      </c>
      <c r="AD20" s="182">
        <v>0.6</v>
      </c>
      <c r="AE20" s="176">
        <v>0.3</v>
      </c>
      <c r="AF20" s="182">
        <v>1.8</v>
      </c>
      <c r="AG20" s="182">
        <v>3.9</v>
      </c>
      <c r="AH20" s="182">
        <v>-2.8</v>
      </c>
      <c r="AI20" s="184">
        <v>8.8564000000000007</v>
      </c>
      <c r="AJ20" s="176">
        <v>8</v>
      </c>
      <c r="AK20" s="176"/>
      <c r="AL20" s="182">
        <f>SUM(L20:AH20)</f>
        <v>212.39999999999998</v>
      </c>
      <c r="AM20" s="185" t="s">
        <v>19</v>
      </c>
      <c r="AN20" s="183" t="s">
        <v>999</v>
      </c>
      <c r="AO20" s="183" t="s">
        <v>545</v>
      </c>
      <c r="AP20" s="186">
        <f t="shared" si="0"/>
        <v>-2.8</v>
      </c>
      <c r="AQ20" s="187">
        <v>1</v>
      </c>
      <c r="AR20" s="188">
        <f t="shared" si="1"/>
        <v>24.1</v>
      </c>
      <c r="AS20" s="188">
        <f t="shared" si="2"/>
        <v>0.6</v>
      </c>
      <c r="AT20" s="188">
        <f t="shared" si="2"/>
        <v>0.3</v>
      </c>
      <c r="AU20" s="188">
        <f t="shared" si="3"/>
        <v>-2.8</v>
      </c>
      <c r="AV20" s="188">
        <f t="shared" si="4"/>
        <v>3.8</v>
      </c>
    </row>
    <row r="21" spans="1:48">
      <c r="A21" s="176">
        <v>207</v>
      </c>
      <c r="B21" s="180" t="s">
        <v>1000</v>
      </c>
      <c r="C21" s="176" t="s">
        <v>769</v>
      </c>
      <c r="D21" s="176" t="s">
        <v>38</v>
      </c>
      <c r="E21" s="176" t="s">
        <v>52</v>
      </c>
      <c r="F21" s="176" t="s">
        <v>53</v>
      </c>
      <c r="G21" s="176" t="s">
        <v>9</v>
      </c>
      <c r="H21" s="176" t="s">
        <v>19</v>
      </c>
      <c r="I21" s="176" t="s">
        <v>743</v>
      </c>
      <c r="J21" s="176" t="s">
        <v>54</v>
      </c>
      <c r="K21" s="176" t="s">
        <v>265</v>
      </c>
      <c r="L21" s="182">
        <v>46.1</v>
      </c>
      <c r="M21" s="182">
        <v>4.7</v>
      </c>
      <c r="N21" s="182">
        <v>38.4</v>
      </c>
      <c r="O21" s="182">
        <v>14.2</v>
      </c>
      <c r="P21" s="182">
        <v>20.5</v>
      </c>
      <c r="Q21" s="182">
        <v>26.6</v>
      </c>
      <c r="R21" s="182">
        <v>31.8</v>
      </c>
      <c r="S21" s="182">
        <v>-12.2</v>
      </c>
      <c r="T21" s="182">
        <v>33.9</v>
      </c>
      <c r="U21" s="182">
        <v>9.8000000000000007</v>
      </c>
      <c r="V21" s="182">
        <v>35.700000000000003</v>
      </c>
      <c r="W21" s="182" t="s">
        <v>770</v>
      </c>
      <c r="X21" s="182">
        <v>14.7</v>
      </c>
      <c r="Y21" s="182">
        <v>7.9</v>
      </c>
      <c r="Z21" s="176">
        <v>3.5</v>
      </c>
      <c r="AA21" s="182">
        <v>15.4</v>
      </c>
      <c r="AB21" s="182">
        <v>-1.8</v>
      </c>
      <c r="AC21" s="182">
        <v>13.9</v>
      </c>
      <c r="AD21" s="182">
        <v>-2.2000000000000002</v>
      </c>
      <c r="AE21" s="176">
        <v>2.9</v>
      </c>
      <c r="AF21" s="182">
        <v>3.9</v>
      </c>
      <c r="AG21" s="182">
        <v>4.3</v>
      </c>
      <c r="AH21" s="182">
        <v>0.2</v>
      </c>
      <c r="AI21" s="184">
        <v>4.9757999999999996</v>
      </c>
      <c r="AJ21" s="176">
        <v>8</v>
      </c>
      <c r="AK21" s="176" t="s">
        <v>771</v>
      </c>
      <c r="AL21" s="182">
        <f>SUM(X21:AH21)</f>
        <v>62.699999999999996</v>
      </c>
      <c r="AM21" s="185" t="s">
        <v>615</v>
      </c>
      <c r="AN21" s="183" t="s">
        <v>999</v>
      </c>
      <c r="AO21" s="183" t="s">
        <v>545</v>
      </c>
      <c r="AP21" s="186">
        <f t="shared" si="0"/>
        <v>0.2</v>
      </c>
      <c r="AQ21" s="187">
        <v>1</v>
      </c>
      <c r="AR21" s="188" t="str">
        <f t="shared" si="1"/>
        <v>A</v>
      </c>
      <c r="AS21" s="188">
        <f t="shared" si="2"/>
        <v>-2.2000000000000002</v>
      </c>
      <c r="AT21" s="188">
        <f t="shared" si="2"/>
        <v>2.9</v>
      </c>
      <c r="AU21" s="188">
        <f t="shared" si="3"/>
        <v>0.2</v>
      </c>
      <c r="AV21" s="188">
        <f t="shared" si="4"/>
        <v>9.0999999999999979</v>
      </c>
    </row>
    <row r="22" spans="1:48">
      <c r="A22" s="176">
        <v>208</v>
      </c>
      <c r="B22" s="180"/>
      <c r="C22" s="176" t="s">
        <v>772</v>
      </c>
      <c r="D22" s="176" t="s">
        <v>38</v>
      </c>
      <c r="E22" s="176" t="s">
        <v>266</v>
      </c>
      <c r="F22" s="176" t="s">
        <v>267</v>
      </c>
      <c r="G22" s="176" t="s">
        <v>9</v>
      </c>
      <c r="H22" s="176" t="s">
        <v>10</v>
      </c>
      <c r="I22" s="176" t="s">
        <v>743</v>
      </c>
      <c r="J22" s="176" t="s">
        <v>54</v>
      </c>
      <c r="K22" s="176" t="s">
        <v>265</v>
      </c>
      <c r="L22" s="173"/>
      <c r="M22" s="181"/>
      <c r="N22" s="185" t="s">
        <v>744</v>
      </c>
      <c r="O22" s="177"/>
      <c r="P22" s="183">
        <v>59.2</v>
      </c>
      <c r="Q22" s="182">
        <v>21.2</v>
      </c>
      <c r="R22" s="182">
        <v>6.2</v>
      </c>
      <c r="S22" s="182">
        <v>-9.8000000000000007</v>
      </c>
      <c r="T22" s="182">
        <v>12.5</v>
      </c>
      <c r="U22" s="182">
        <v>11.3</v>
      </c>
      <c r="V22" s="182">
        <v>28.2</v>
      </c>
      <c r="W22" s="183" t="s">
        <v>775</v>
      </c>
      <c r="X22" s="177"/>
      <c r="Y22" s="177"/>
      <c r="Z22" s="177"/>
      <c r="AA22" s="177"/>
      <c r="AB22" s="183">
        <v>58.7</v>
      </c>
      <c r="AC22" s="176" t="s">
        <v>770</v>
      </c>
      <c r="AD22" s="182">
        <v>-0.1</v>
      </c>
      <c r="AE22" s="176">
        <v>7.9</v>
      </c>
      <c r="AF22" s="182">
        <v>8.6999999999999993</v>
      </c>
      <c r="AG22" s="182">
        <v>4</v>
      </c>
      <c r="AH22" s="182">
        <v>10.7</v>
      </c>
      <c r="AI22" s="184">
        <v>2.8664999999999998</v>
      </c>
      <c r="AJ22" s="176">
        <v>8</v>
      </c>
      <c r="AK22" s="176" t="s">
        <v>776</v>
      </c>
      <c r="AL22" s="182">
        <f>SUM(AD22:AH22)</f>
        <v>31.2</v>
      </c>
      <c r="AM22" s="185" t="s">
        <v>620</v>
      </c>
      <c r="AN22" s="183" t="s">
        <v>999</v>
      </c>
      <c r="AO22" s="183" t="s">
        <v>545</v>
      </c>
      <c r="AP22" s="186">
        <f t="shared" si="0"/>
        <v>10.7</v>
      </c>
      <c r="AQ22" s="187">
        <v>1</v>
      </c>
      <c r="AR22" s="188" t="str">
        <f t="shared" si="1"/>
        <v>６年累積</v>
      </c>
      <c r="AS22" s="188">
        <f t="shared" si="2"/>
        <v>-0.1</v>
      </c>
      <c r="AT22" s="188">
        <f t="shared" si="2"/>
        <v>7.9</v>
      </c>
      <c r="AU22" s="188">
        <f t="shared" si="3"/>
        <v>10.7</v>
      </c>
      <c r="AV22" s="188">
        <f t="shared" si="4"/>
        <v>31.2</v>
      </c>
    </row>
    <row r="23" spans="1:48">
      <c r="A23" s="176">
        <v>209</v>
      </c>
      <c r="B23" s="180"/>
      <c r="C23" s="176" t="s">
        <v>777</v>
      </c>
      <c r="D23" s="176" t="s">
        <v>38</v>
      </c>
      <c r="E23" s="176" t="s">
        <v>268</v>
      </c>
      <c r="F23" s="176" t="s">
        <v>55</v>
      </c>
      <c r="G23" s="176" t="s">
        <v>9</v>
      </c>
      <c r="H23" s="176" t="s">
        <v>10</v>
      </c>
      <c r="I23" s="176" t="s">
        <v>743</v>
      </c>
      <c r="J23" s="176" t="s">
        <v>54</v>
      </c>
      <c r="K23" s="176" t="s">
        <v>265</v>
      </c>
      <c r="L23" s="173"/>
      <c r="M23" s="181"/>
      <c r="N23" s="182">
        <v>17.7</v>
      </c>
      <c r="O23" s="182">
        <v>12.7</v>
      </c>
      <c r="P23" s="182">
        <v>5.7</v>
      </c>
      <c r="Q23" s="182">
        <v>30.8</v>
      </c>
      <c r="R23" s="182">
        <v>15.1</v>
      </c>
      <c r="S23" s="182">
        <v>-20.2</v>
      </c>
      <c r="T23" s="182">
        <v>12.3</v>
      </c>
      <c r="U23" s="182">
        <v>2.6</v>
      </c>
      <c r="V23" s="182">
        <v>35</v>
      </c>
      <c r="W23" s="183" t="s">
        <v>775</v>
      </c>
      <c r="X23" s="177"/>
      <c r="Y23" s="177"/>
      <c r="Z23" s="177"/>
      <c r="AA23" s="177"/>
      <c r="AB23" s="183">
        <v>35.799999999999997</v>
      </c>
      <c r="AC23" s="176" t="s">
        <v>770</v>
      </c>
      <c r="AD23" s="182">
        <v>5.4</v>
      </c>
      <c r="AE23" s="176">
        <v>-2.7</v>
      </c>
      <c r="AF23" s="182">
        <v>4.9000000000000004</v>
      </c>
      <c r="AG23" s="182">
        <v>7</v>
      </c>
      <c r="AH23" s="182">
        <v>5.4</v>
      </c>
      <c r="AI23" s="184">
        <v>3.3391999999999999</v>
      </c>
      <c r="AJ23" s="176">
        <v>8</v>
      </c>
      <c r="AK23" s="176" t="s">
        <v>776</v>
      </c>
      <c r="AL23" s="182">
        <f>SUM(AD23:AH23)</f>
        <v>20</v>
      </c>
      <c r="AM23" s="185" t="s">
        <v>620</v>
      </c>
      <c r="AN23" s="183" t="s">
        <v>999</v>
      </c>
      <c r="AO23" s="183" t="s">
        <v>545</v>
      </c>
      <c r="AP23" s="186">
        <f t="shared" si="0"/>
        <v>5.4</v>
      </c>
      <c r="AQ23" s="187">
        <v>1</v>
      </c>
      <c r="AR23" s="188" t="str">
        <f t="shared" si="1"/>
        <v>６年累積</v>
      </c>
      <c r="AS23" s="188">
        <f t="shared" si="2"/>
        <v>5.4</v>
      </c>
      <c r="AT23" s="188">
        <f t="shared" si="2"/>
        <v>-2.7</v>
      </c>
      <c r="AU23" s="188">
        <f t="shared" si="3"/>
        <v>5.4</v>
      </c>
      <c r="AV23" s="188">
        <f t="shared" si="4"/>
        <v>20</v>
      </c>
    </row>
    <row r="24" spans="1:48">
      <c r="A24" s="176">
        <v>210</v>
      </c>
      <c r="B24" s="180" t="s">
        <v>1002</v>
      </c>
      <c r="C24" s="176" t="s">
        <v>779</v>
      </c>
      <c r="D24" s="176" t="s">
        <v>38</v>
      </c>
      <c r="E24" s="176" t="s">
        <v>56</v>
      </c>
      <c r="F24" s="176" t="s">
        <v>57</v>
      </c>
      <c r="G24" s="176" t="s">
        <v>9</v>
      </c>
      <c r="H24" s="176" t="s">
        <v>19</v>
      </c>
      <c r="I24" s="176" t="s">
        <v>743</v>
      </c>
      <c r="J24" s="176" t="s">
        <v>763</v>
      </c>
      <c r="K24" s="176" t="s">
        <v>265</v>
      </c>
      <c r="L24" s="185" t="s">
        <v>754</v>
      </c>
      <c r="M24" s="189">
        <v>38.799999999999997</v>
      </c>
      <c r="N24" s="182">
        <v>7.1</v>
      </c>
      <c r="O24" s="182">
        <v>4.9000000000000004</v>
      </c>
      <c r="P24" s="182">
        <v>10.4</v>
      </c>
      <c r="Q24" s="182">
        <v>4.8</v>
      </c>
      <c r="R24" s="182">
        <v>4.5</v>
      </c>
      <c r="S24" s="182">
        <v>-10.1</v>
      </c>
      <c r="T24" s="182">
        <v>7.3</v>
      </c>
      <c r="U24" s="182" t="s">
        <v>47</v>
      </c>
      <c r="V24" s="182">
        <v>21.1</v>
      </c>
      <c r="W24" s="182">
        <v>17.399999999999999</v>
      </c>
      <c r="X24" s="182">
        <v>9.1999999999999993</v>
      </c>
      <c r="Y24" s="182">
        <v>3</v>
      </c>
      <c r="Z24" s="176">
        <v>6.6</v>
      </c>
      <c r="AA24" s="182">
        <v>10.6</v>
      </c>
      <c r="AB24" s="182">
        <v>-2.2000000000000002</v>
      </c>
      <c r="AC24" s="182">
        <v>9.6999999999999993</v>
      </c>
      <c r="AD24" s="182">
        <v>-0.3</v>
      </c>
      <c r="AE24" s="176">
        <v>0.2</v>
      </c>
      <c r="AF24" s="182">
        <v>4.3</v>
      </c>
      <c r="AG24" s="182">
        <v>2.2999999999999998</v>
      </c>
      <c r="AH24" s="182">
        <v>0.2</v>
      </c>
      <c r="AI24" s="184">
        <v>6.8010999999999999</v>
      </c>
      <c r="AJ24" s="176">
        <v>8</v>
      </c>
      <c r="AK24" s="176" t="s">
        <v>780</v>
      </c>
      <c r="AL24" s="182">
        <f>SUM(V24:AH24)</f>
        <v>82.100000000000009</v>
      </c>
      <c r="AM24" s="185" t="s">
        <v>613</v>
      </c>
      <c r="AN24" s="183" t="s">
        <v>999</v>
      </c>
      <c r="AO24" s="183" t="s">
        <v>545</v>
      </c>
      <c r="AP24" s="186">
        <f t="shared" si="0"/>
        <v>0.2</v>
      </c>
      <c r="AQ24" s="187">
        <v>1</v>
      </c>
      <c r="AR24" s="188">
        <f t="shared" si="1"/>
        <v>17.399999999999999</v>
      </c>
      <c r="AS24" s="188">
        <f t="shared" si="2"/>
        <v>-0.3</v>
      </c>
      <c r="AT24" s="188">
        <f t="shared" si="2"/>
        <v>0.2</v>
      </c>
      <c r="AU24" s="188">
        <f t="shared" si="3"/>
        <v>0.2</v>
      </c>
      <c r="AV24" s="188">
        <f t="shared" si="4"/>
        <v>6.7</v>
      </c>
    </row>
    <row r="25" spans="1:48">
      <c r="A25" s="176">
        <v>211</v>
      </c>
      <c r="B25" s="180" t="s">
        <v>1002</v>
      </c>
      <c r="C25" s="176" t="s">
        <v>781</v>
      </c>
      <c r="D25" s="176" t="s">
        <v>38</v>
      </c>
      <c r="E25" s="176" t="s">
        <v>58</v>
      </c>
      <c r="F25" s="176" t="s">
        <v>59</v>
      </c>
      <c r="G25" s="176" t="s">
        <v>9</v>
      </c>
      <c r="H25" s="176" t="s">
        <v>19</v>
      </c>
      <c r="I25" s="176" t="s">
        <v>743</v>
      </c>
      <c r="J25" s="176" t="s">
        <v>763</v>
      </c>
      <c r="K25" s="176" t="s">
        <v>265</v>
      </c>
      <c r="L25" s="185" t="s">
        <v>754</v>
      </c>
      <c r="M25" s="189">
        <v>79.599999999999994</v>
      </c>
      <c r="N25" s="182">
        <v>30.4</v>
      </c>
      <c r="O25" s="182">
        <v>18.5</v>
      </c>
      <c r="P25" s="182">
        <v>15.4</v>
      </c>
      <c r="Q25" s="182">
        <v>17.100000000000001</v>
      </c>
      <c r="R25" s="182">
        <v>9.8000000000000007</v>
      </c>
      <c r="S25" s="182">
        <v>-4.7</v>
      </c>
      <c r="T25" s="182">
        <v>6.3</v>
      </c>
      <c r="U25" s="182">
        <v>7.5</v>
      </c>
      <c r="V25" s="182">
        <v>10.1</v>
      </c>
      <c r="W25" s="182">
        <v>9.6999999999999993</v>
      </c>
      <c r="X25" s="182">
        <v>4.7</v>
      </c>
      <c r="Y25" s="182">
        <v>-0.7</v>
      </c>
      <c r="Z25" s="176">
        <v>2.5</v>
      </c>
      <c r="AA25" s="182">
        <v>10</v>
      </c>
      <c r="AB25" s="182">
        <v>-2.1</v>
      </c>
      <c r="AC25" s="182">
        <v>8</v>
      </c>
      <c r="AD25" s="182">
        <v>-1.1000000000000001</v>
      </c>
      <c r="AE25" s="176">
        <v>-0.7</v>
      </c>
      <c r="AF25" s="182">
        <v>3.7</v>
      </c>
      <c r="AG25" s="182">
        <v>1.3</v>
      </c>
      <c r="AH25" s="182">
        <v>1</v>
      </c>
      <c r="AI25" s="184">
        <v>5.7454000000000001</v>
      </c>
      <c r="AJ25" s="176">
        <v>8</v>
      </c>
      <c r="AK25" s="176"/>
      <c r="AL25" s="182">
        <f>SUM(L25:AH25)</f>
        <v>226.30000000000004</v>
      </c>
      <c r="AM25" s="185" t="s">
        <v>19</v>
      </c>
      <c r="AN25" s="183" t="s">
        <v>999</v>
      </c>
      <c r="AO25" s="183" t="s">
        <v>545</v>
      </c>
      <c r="AP25" s="186">
        <f t="shared" si="0"/>
        <v>1</v>
      </c>
      <c r="AQ25" s="187">
        <v>1</v>
      </c>
      <c r="AR25" s="188">
        <f t="shared" si="1"/>
        <v>9.6999999999999993</v>
      </c>
      <c r="AS25" s="188">
        <f t="shared" si="2"/>
        <v>-1.1000000000000001</v>
      </c>
      <c r="AT25" s="188">
        <f t="shared" si="2"/>
        <v>-0.7</v>
      </c>
      <c r="AU25" s="188">
        <f t="shared" si="3"/>
        <v>1</v>
      </c>
      <c r="AV25" s="188">
        <f t="shared" si="4"/>
        <v>4.2</v>
      </c>
    </row>
    <row r="26" spans="1:48">
      <c r="A26" s="176">
        <v>212</v>
      </c>
      <c r="B26" s="180" t="s">
        <v>1005</v>
      </c>
      <c r="C26" s="176" t="s">
        <v>782</v>
      </c>
      <c r="D26" s="176" t="s">
        <v>38</v>
      </c>
      <c r="E26" s="176" t="s">
        <v>60</v>
      </c>
      <c r="F26" s="176" t="s">
        <v>61</v>
      </c>
      <c r="G26" s="176" t="s">
        <v>9</v>
      </c>
      <c r="H26" s="176" t="s">
        <v>19</v>
      </c>
      <c r="I26" s="176" t="s">
        <v>743</v>
      </c>
      <c r="J26" s="176" t="s">
        <v>763</v>
      </c>
      <c r="K26" s="176" t="s">
        <v>265</v>
      </c>
      <c r="L26" s="182">
        <v>21.7</v>
      </c>
      <c r="M26" s="182">
        <v>28.3</v>
      </c>
      <c r="N26" s="182">
        <v>11.7</v>
      </c>
      <c r="O26" s="182">
        <v>6.5</v>
      </c>
      <c r="P26" s="182">
        <v>12.8</v>
      </c>
      <c r="Q26" s="182">
        <v>9.6999999999999993</v>
      </c>
      <c r="R26" s="182">
        <v>7.7</v>
      </c>
      <c r="S26" s="182">
        <v>-5.6</v>
      </c>
      <c r="T26" s="182">
        <v>6.4</v>
      </c>
      <c r="U26" s="182">
        <v>7.7</v>
      </c>
      <c r="V26" s="182">
        <v>16.7</v>
      </c>
      <c r="W26" s="182">
        <v>6.2</v>
      </c>
      <c r="X26" s="182">
        <v>4.5999999999999996</v>
      </c>
      <c r="Y26" s="182">
        <v>1.1000000000000001</v>
      </c>
      <c r="Z26" s="176">
        <v>6.3</v>
      </c>
      <c r="AA26" s="182">
        <v>15</v>
      </c>
      <c r="AB26" s="182">
        <v>0.6</v>
      </c>
      <c r="AC26" s="182">
        <v>11.2</v>
      </c>
      <c r="AD26" s="182">
        <v>0.2</v>
      </c>
      <c r="AE26" s="176">
        <v>0.9</v>
      </c>
      <c r="AF26" s="182">
        <v>6.7</v>
      </c>
      <c r="AG26" s="182">
        <v>5.4</v>
      </c>
      <c r="AH26" s="182">
        <v>9</v>
      </c>
      <c r="AI26" s="184">
        <v>5.5876999999999999</v>
      </c>
      <c r="AJ26" s="176">
        <v>8</v>
      </c>
      <c r="AK26" s="176"/>
      <c r="AL26" s="182">
        <f>SUM(L26:AH26)</f>
        <v>190.79999999999998</v>
      </c>
      <c r="AM26" s="185" t="s">
        <v>19</v>
      </c>
      <c r="AN26" s="183" t="s">
        <v>999</v>
      </c>
      <c r="AO26" s="183" t="s">
        <v>545</v>
      </c>
      <c r="AP26" s="186">
        <f t="shared" si="0"/>
        <v>9</v>
      </c>
      <c r="AQ26" s="187">
        <v>1</v>
      </c>
      <c r="AR26" s="188">
        <f t="shared" si="1"/>
        <v>6.2</v>
      </c>
      <c r="AS26" s="188">
        <f t="shared" si="2"/>
        <v>0.2</v>
      </c>
      <c r="AT26" s="188">
        <f t="shared" si="2"/>
        <v>0.9</v>
      </c>
      <c r="AU26" s="188">
        <f t="shared" si="3"/>
        <v>9</v>
      </c>
      <c r="AV26" s="188">
        <f t="shared" si="4"/>
        <v>22.200000000000003</v>
      </c>
    </row>
    <row r="27" spans="1:48">
      <c r="A27" s="176">
        <v>213</v>
      </c>
      <c r="B27" s="180"/>
      <c r="C27" s="176" t="s">
        <v>783</v>
      </c>
      <c r="D27" s="176" t="s">
        <v>38</v>
      </c>
      <c r="E27" s="176" t="s">
        <v>62</v>
      </c>
      <c r="F27" s="176" t="s">
        <v>63</v>
      </c>
      <c r="G27" s="176" t="s">
        <v>9</v>
      </c>
      <c r="H27" s="176" t="s">
        <v>19</v>
      </c>
      <c r="I27" s="176" t="s">
        <v>743</v>
      </c>
      <c r="J27" s="176" t="s">
        <v>763</v>
      </c>
      <c r="K27" s="176" t="s">
        <v>265</v>
      </c>
      <c r="L27" s="182">
        <v>13.6</v>
      </c>
      <c r="M27" s="182">
        <v>59.1</v>
      </c>
      <c r="N27" s="182">
        <v>0.2</v>
      </c>
      <c r="O27" s="182">
        <v>2.7</v>
      </c>
      <c r="P27" s="182">
        <v>16.899999999999999</v>
      </c>
      <c r="Q27" s="182">
        <v>7.4</v>
      </c>
      <c r="R27" s="182">
        <v>8.6999999999999993</v>
      </c>
      <c r="S27" s="182">
        <v>8.9</v>
      </c>
      <c r="T27" s="182">
        <v>15.1</v>
      </c>
      <c r="U27" s="182">
        <v>8</v>
      </c>
      <c r="V27" s="182">
        <v>21</v>
      </c>
      <c r="W27" s="182">
        <v>10.3</v>
      </c>
      <c r="X27" s="182">
        <v>1.9</v>
      </c>
      <c r="Y27" s="183" t="s">
        <v>756</v>
      </c>
      <c r="Z27" s="177"/>
      <c r="AA27" s="177"/>
      <c r="AB27" s="183">
        <v>8.3000000000000007</v>
      </c>
      <c r="AC27" s="176">
        <v>9.1</v>
      </c>
      <c r="AD27" s="182">
        <v>-2.8</v>
      </c>
      <c r="AE27" s="176">
        <v>0.7</v>
      </c>
      <c r="AF27" s="182">
        <v>3.6</v>
      </c>
      <c r="AG27" s="182"/>
      <c r="AH27" s="190" t="s">
        <v>47</v>
      </c>
      <c r="AI27" s="184">
        <v>4.9019000000000004</v>
      </c>
      <c r="AJ27" s="176">
        <v>8</v>
      </c>
      <c r="AK27" s="176" t="s">
        <v>1006</v>
      </c>
      <c r="AL27" s="182"/>
      <c r="AM27" s="185"/>
      <c r="AN27" s="183"/>
      <c r="AO27" s="183"/>
      <c r="AP27" s="186"/>
      <c r="AQ27" s="187"/>
      <c r="AR27" s="188">
        <f t="shared" si="1"/>
        <v>10.3</v>
      </c>
      <c r="AS27" s="188">
        <f t="shared" si="2"/>
        <v>-2.8</v>
      </c>
      <c r="AT27" s="188">
        <f t="shared" si="2"/>
        <v>0.7</v>
      </c>
      <c r="AU27" s="188" t="str">
        <f t="shared" si="3"/>
        <v>欠測</v>
      </c>
      <c r="AV27" s="188">
        <f t="shared" si="4"/>
        <v>1.5000000000000004</v>
      </c>
    </row>
    <row r="28" spans="1:48">
      <c r="A28" s="176">
        <v>214</v>
      </c>
      <c r="B28" s="180"/>
      <c r="C28" s="176" t="s">
        <v>784</v>
      </c>
      <c r="D28" s="176" t="s">
        <v>38</v>
      </c>
      <c r="E28" s="176" t="s">
        <v>785</v>
      </c>
      <c r="F28" s="176" t="s">
        <v>786</v>
      </c>
      <c r="G28" s="176" t="s">
        <v>9</v>
      </c>
      <c r="H28" s="176" t="s">
        <v>10</v>
      </c>
      <c r="I28" s="176" t="s">
        <v>64</v>
      </c>
      <c r="J28" s="176" t="s">
        <v>763</v>
      </c>
      <c r="K28" s="176" t="s">
        <v>265</v>
      </c>
      <c r="L28" s="176"/>
      <c r="M28" s="176"/>
      <c r="N28" s="182">
        <v>5.3</v>
      </c>
      <c r="O28" s="183" t="s">
        <v>754</v>
      </c>
      <c r="P28" s="183">
        <v>13.9</v>
      </c>
      <c r="Q28" s="182">
        <v>3.6</v>
      </c>
      <c r="R28" s="182">
        <v>1.3</v>
      </c>
      <c r="S28" s="182">
        <v>-5.8</v>
      </c>
      <c r="T28" s="182">
        <v>6.3</v>
      </c>
      <c r="U28" s="183" t="s">
        <v>754</v>
      </c>
      <c r="V28" s="183">
        <v>11.1</v>
      </c>
      <c r="W28" s="173"/>
      <c r="X28" s="177"/>
      <c r="Y28" s="177"/>
      <c r="Z28" s="177"/>
      <c r="AA28" s="177"/>
      <c r="AB28" s="177"/>
      <c r="AC28" s="177"/>
      <c r="AD28" s="177"/>
      <c r="AE28" s="177"/>
      <c r="AF28" s="183"/>
      <c r="AG28" s="183"/>
      <c r="AH28" s="183"/>
      <c r="AI28" s="184">
        <v>3.8134000000000001</v>
      </c>
      <c r="AJ28" s="176">
        <v>59</v>
      </c>
      <c r="AK28" s="176" t="s">
        <v>20</v>
      </c>
      <c r="AL28" s="182"/>
      <c r="AM28" s="185"/>
      <c r="AN28" s="183"/>
      <c r="AO28" s="183"/>
      <c r="AP28" s="186"/>
      <c r="AQ28" s="187"/>
      <c r="AR28" s="188">
        <f t="shared" si="1"/>
        <v>0</v>
      </c>
      <c r="AS28" s="188">
        <f t="shared" si="2"/>
        <v>0</v>
      </c>
      <c r="AT28" s="188">
        <f t="shared" si="2"/>
        <v>0</v>
      </c>
      <c r="AU28" s="188">
        <f t="shared" si="3"/>
        <v>0</v>
      </c>
      <c r="AV28" s="188">
        <f t="shared" si="4"/>
        <v>0</v>
      </c>
    </row>
    <row r="29" spans="1:48">
      <c r="A29" s="176">
        <v>215</v>
      </c>
      <c r="B29" s="180"/>
      <c r="C29" s="176" t="s">
        <v>787</v>
      </c>
      <c r="D29" s="176" t="s">
        <v>38</v>
      </c>
      <c r="E29" s="176" t="s">
        <v>65</v>
      </c>
      <c r="F29" s="176" t="s">
        <v>66</v>
      </c>
      <c r="G29" s="176" t="s">
        <v>9</v>
      </c>
      <c r="H29" s="176" t="s">
        <v>19</v>
      </c>
      <c r="I29" s="176" t="s">
        <v>743</v>
      </c>
      <c r="J29" s="176" t="s">
        <v>54</v>
      </c>
      <c r="K29" s="176" t="s">
        <v>265</v>
      </c>
      <c r="L29" s="182">
        <v>45.3</v>
      </c>
      <c r="M29" s="182">
        <v>33.4</v>
      </c>
      <c r="N29" s="182">
        <v>30.2</v>
      </c>
      <c r="O29" s="183" t="s">
        <v>754</v>
      </c>
      <c r="P29" s="183">
        <v>46.1</v>
      </c>
      <c r="Q29" s="182">
        <v>19.8</v>
      </c>
      <c r="R29" s="182">
        <v>18.8</v>
      </c>
      <c r="S29" s="182">
        <v>-2.2000000000000002</v>
      </c>
      <c r="T29" s="182">
        <v>12.5</v>
      </c>
      <c r="U29" s="182">
        <v>4</v>
      </c>
      <c r="V29" s="182">
        <v>16</v>
      </c>
      <c r="W29" s="182">
        <v>19.100000000000001</v>
      </c>
      <c r="X29" s="182">
        <v>9.1999999999999993</v>
      </c>
      <c r="Y29" s="183" t="s">
        <v>756</v>
      </c>
      <c r="Z29" s="177"/>
      <c r="AA29" s="177"/>
      <c r="AB29" s="183">
        <v>11.5</v>
      </c>
      <c r="AC29" s="173" t="s">
        <v>744</v>
      </c>
      <c r="AD29" s="177"/>
      <c r="AE29" s="177">
        <v>15.5</v>
      </c>
      <c r="AF29" s="173" t="s">
        <v>744</v>
      </c>
      <c r="AG29" s="183"/>
      <c r="AH29" s="183">
        <v>18.5</v>
      </c>
      <c r="AI29" s="184">
        <v>3.5146000000000002</v>
      </c>
      <c r="AJ29" s="176">
        <v>8</v>
      </c>
      <c r="AK29" s="176"/>
      <c r="AL29" s="182">
        <f>SUM(L29:AH29)</f>
        <v>297.70000000000005</v>
      </c>
      <c r="AM29" s="185" t="s">
        <v>19</v>
      </c>
      <c r="AN29" s="183" t="s">
        <v>999</v>
      </c>
      <c r="AO29" s="183" t="s">
        <v>545</v>
      </c>
      <c r="AP29" s="186">
        <f t="shared" si="0"/>
        <v>6.166666666666667</v>
      </c>
      <c r="AQ29" s="187">
        <v>3</v>
      </c>
      <c r="AR29" s="188">
        <f t="shared" si="1"/>
        <v>19.100000000000001</v>
      </c>
      <c r="AS29" s="188">
        <f t="shared" si="2"/>
        <v>0</v>
      </c>
      <c r="AT29" s="188">
        <f t="shared" si="2"/>
        <v>15.5</v>
      </c>
      <c r="AU29" s="188">
        <f t="shared" si="3"/>
        <v>18.5</v>
      </c>
      <c r="AV29" s="188">
        <f t="shared" si="4"/>
        <v>34</v>
      </c>
    </row>
    <row r="30" spans="1:48">
      <c r="A30" s="176">
        <v>216</v>
      </c>
      <c r="B30" s="180"/>
      <c r="C30" s="176" t="s">
        <v>788</v>
      </c>
      <c r="D30" s="176" t="s">
        <v>38</v>
      </c>
      <c r="E30" s="176" t="s">
        <v>67</v>
      </c>
      <c r="F30" s="176" t="s">
        <v>68</v>
      </c>
      <c r="G30" s="176" t="s">
        <v>9</v>
      </c>
      <c r="H30" s="176" t="s">
        <v>19</v>
      </c>
      <c r="I30" s="176" t="s">
        <v>743</v>
      </c>
      <c r="J30" s="176" t="s">
        <v>763</v>
      </c>
      <c r="K30" s="176" t="s">
        <v>265</v>
      </c>
      <c r="L30" s="182">
        <v>13.9</v>
      </c>
      <c r="M30" s="182">
        <v>0.6</v>
      </c>
      <c r="N30" s="182">
        <v>2.1</v>
      </c>
      <c r="O30" s="182">
        <v>3.9</v>
      </c>
      <c r="P30" s="182">
        <v>8.6999999999999993</v>
      </c>
      <c r="Q30" s="182">
        <v>3.4</v>
      </c>
      <c r="R30" s="182">
        <v>3.6</v>
      </c>
      <c r="S30" s="182">
        <v>-7.5</v>
      </c>
      <c r="T30" s="182">
        <v>4.7</v>
      </c>
      <c r="U30" s="182">
        <v>1.9</v>
      </c>
      <c r="V30" s="182">
        <v>8.4</v>
      </c>
      <c r="W30" s="182">
        <v>3.3</v>
      </c>
      <c r="X30" s="182">
        <v>1.4</v>
      </c>
      <c r="Y30" s="183" t="s">
        <v>756</v>
      </c>
      <c r="Z30" s="177"/>
      <c r="AA30" s="177"/>
      <c r="AB30" s="183">
        <v>18.600000000000001</v>
      </c>
      <c r="AC30" s="182">
        <v>10</v>
      </c>
      <c r="AD30" s="182">
        <v>-0.4</v>
      </c>
      <c r="AE30" s="176">
        <v>0.7</v>
      </c>
      <c r="AF30" s="182">
        <v>8.5</v>
      </c>
      <c r="AG30" s="182"/>
      <c r="AH30" s="182">
        <v>10</v>
      </c>
      <c r="AI30" s="184">
        <v>3.6655000000000002</v>
      </c>
      <c r="AJ30" s="176">
        <v>8</v>
      </c>
      <c r="AK30" s="176" t="s">
        <v>789</v>
      </c>
      <c r="AL30" s="182">
        <f>SUM(L30:AH30)</f>
        <v>95.8</v>
      </c>
      <c r="AM30" s="185" t="s">
        <v>19</v>
      </c>
      <c r="AN30" s="183" t="s">
        <v>999</v>
      </c>
      <c r="AO30" s="183" t="s">
        <v>545</v>
      </c>
      <c r="AP30" s="186">
        <f t="shared" si="0"/>
        <v>10</v>
      </c>
      <c r="AQ30" s="187">
        <v>1</v>
      </c>
      <c r="AR30" s="188">
        <f t="shared" si="1"/>
        <v>3.3</v>
      </c>
      <c r="AS30" s="188">
        <f t="shared" si="2"/>
        <v>-0.4</v>
      </c>
      <c r="AT30" s="188">
        <f t="shared" si="2"/>
        <v>0.7</v>
      </c>
      <c r="AU30" s="188">
        <f t="shared" si="3"/>
        <v>10</v>
      </c>
      <c r="AV30" s="188">
        <f t="shared" si="4"/>
        <v>18.8</v>
      </c>
    </row>
    <row r="31" spans="1:48">
      <c r="A31" s="176">
        <v>217</v>
      </c>
      <c r="B31" s="180"/>
      <c r="C31" s="176" t="s">
        <v>790</v>
      </c>
      <c r="D31" s="176" t="s">
        <v>38</v>
      </c>
      <c r="E31" s="176" t="s">
        <v>1007</v>
      </c>
      <c r="F31" s="176" t="s">
        <v>792</v>
      </c>
      <c r="G31" s="176" t="s">
        <v>9</v>
      </c>
      <c r="H31" s="176" t="s">
        <v>10</v>
      </c>
      <c r="I31" s="176" t="s">
        <v>64</v>
      </c>
      <c r="J31" s="176" t="s">
        <v>54</v>
      </c>
      <c r="K31" s="176" t="s">
        <v>265</v>
      </c>
      <c r="L31" s="173"/>
      <c r="M31" s="181"/>
      <c r="N31" s="182">
        <v>3.4</v>
      </c>
      <c r="O31" s="183" t="s">
        <v>754</v>
      </c>
      <c r="P31" s="183">
        <v>14.7</v>
      </c>
      <c r="Q31" s="182">
        <v>5.4</v>
      </c>
      <c r="R31" s="182">
        <v>2.8</v>
      </c>
      <c r="S31" s="182">
        <v>-6.3</v>
      </c>
      <c r="T31" s="182">
        <v>5.0999999999999996</v>
      </c>
      <c r="U31" s="183" t="s">
        <v>754</v>
      </c>
      <c r="V31" s="183">
        <v>7.8</v>
      </c>
      <c r="W31" s="173"/>
      <c r="X31" s="177"/>
      <c r="Y31" s="177"/>
      <c r="Z31" s="177"/>
      <c r="AA31" s="177"/>
      <c r="AB31" s="177"/>
      <c r="AC31" s="177"/>
      <c r="AD31" s="177"/>
      <c r="AE31" s="177"/>
      <c r="AF31" s="183"/>
      <c r="AG31" s="183"/>
      <c r="AH31" s="183"/>
      <c r="AI31" s="184">
        <v>2.4813000000000001</v>
      </c>
      <c r="AJ31" s="176">
        <v>59</v>
      </c>
      <c r="AK31" s="176" t="s">
        <v>20</v>
      </c>
      <c r="AL31" s="182"/>
      <c r="AM31" s="185"/>
      <c r="AN31" s="183"/>
      <c r="AO31" s="183"/>
      <c r="AP31" s="186"/>
      <c r="AQ31" s="187"/>
      <c r="AR31" s="188">
        <f t="shared" si="1"/>
        <v>0</v>
      </c>
      <c r="AS31" s="188">
        <f t="shared" si="2"/>
        <v>0</v>
      </c>
      <c r="AT31" s="188">
        <f t="shared" si="2"/>
        <v>0</v>
      </c>
      <c r="AU31" s="188">
        <f t="shared" si="3"/>
        <v>0</v>
      </c>
      <c r="AV31" s="188">
        <f t="shared" si="4"/>
        <v>0</v>
      </c>
    </row>
    <row r="32" spans="1:48">
      <c r="A32" s="176">
        <v>218</v>
      </c>
      <c r="B32" s="180"/>
      <c r="C32" s="176" t="s">
        <v>793</v>
      </c>
      <c r="D32" s="176" t="s">
        <v>38</v>
      </c>
      <c r="E32" s="176" t="s">
        <v>245</v>
      </c>
      <c r="F32" s="176" t="s">
        <v>69</v>
      </c>
      <c r="G32" s="176" t="s">
        <v>70</v>
      </c>
      <c r="H32" s="176" t="s">
        <v>19</v>
      </c>
      <c r="I32" s="176" t="s">
        <v>64</v>
      </c>
      <c r="J32" s="176" t="s">
        <v>763</v>
      </c>
      <c r="K32" s="176" t="s">
        <v>265</v>
      </c>
      <c r="L32" s="185" t="s">
        <v>754</v>
      </c>
      <c r="M32" s="189">
        <v>25.9</v>
      </c>
      <c r="N32" s="182">
        <v>4.9000000000000004</v>
      </c>
      <c r="O32" s="183" t="s">
        <v>754</v>
      </c>
      <c r="P32" s="183">
        <v>21.9</v>
      </c>
      <c r="Q32" s="182">
        <v>4.8</v>
      </c>
      <c r="R32" s="182">
        <v>8.6999999999999993</v>
      </c>
      <c r="S32" s="182">
        <v>-2.1</v>
      </c>
      <c r="T32" s="182">
        <v>13.3</v>
      </c>
      <c r="U32" s="182">
        <v>7</v>
      </c>
      <c r="V32" s="182">
        <v>11.3</v>
      </c>
      <c r="W32" s="183" t="s">
        <v>775</v>
      </c>
      <c r="X32" s="177"/>
      <c r="Y32" s="177"/>
      <c r="Z32" s="177"/>
      <c r="AA32" s="177"/>
      <c r="AB32" s="183">
        <v>23.8</v>
      </c>
      <c r="AC32" s="176">
        <v>9.6999999999999993</v>
      </c>
      <c r="AD32" s="182">
        <v>-0.3</v>
      </c>
      <c r="AE32" s="182">
        <v>2</v>
      </c>
      <c r="AF32" s="185"/>
      <c r="AG32" s="183"/>
      <c r="AH32" s="185">
        <v>8.3000000000000007</v>
      </c>
      <c r="AI32" s="184">
        <v>2.8849999999999998</v>
      </c>
      <c r="AJ32" s="176">
        <v>8</v>
      </c>
      <c r="AK32" s="176"/>
      <c r="AL32" s="182">
        <f>SUM(L32:AH32)</f>
        <v>139.19999999999999</v>
      </c>
      <c r="AM32" s="185" t="s">
        <v>19</v>
      </c>
      <c r="AN32" s="183" t="s">
        <v>999</v>
      </c>
      <c r="AO32" s="183" t="s">
        <v>545</v>
      </c>
      <c r="AP32" s="186">
        <f t="shared" si="0"/>
        <v>8.3000000000000007</v>
      </c>
      <c r="AQ32" s="187">
        <v>1</v>
      </c>
      <c r="AR32" s="188" t="str">
        <f t="shared" si="1"/>
        <v>６年累積</v>
      </c>
      <c r="AS32" s="188">
        <f t="shared" si="2"/>
        <v>-0.3</v>
      </c>
      <c r="AT32" s="188">
        <f t="shared" si="2"/>
        <v>2</v>
      </c>
      <c r="AU32" s="188">
        <f t="shared" si="3"/>
        <v>8.3000000000000007</v>
      </c>
      <c r="AV32" s="188">
        <f t="shared" si="4"/>
        <v>10</v>
      </c>
    </row>
    <row r="33" spans="1:48">
      <c r="A33" s="176">
        <v>219</v>
      </c>
      <c r="B33" s="180" t="s">
        <v>1003</v>
      </c>
      <c r="C33" s="176" t="s">
        <v>795</v>
      </c>
      <c r="D33" s="176" t="s">
        <v>38</v>
      </c>
      <c r="E33" s="176" t="s">
        <v>71</v>
      </c>
      <c r="F33" s="176" t="s">
        <v>72</v>
      </c>
      <c r="G33" s="176" t="s">
        <v>12</v>
      </c>
      <c r="H33" s="176" t="s">
        <v>73</v>
      </c>
      <c r="I33" s="176" t="s">
        <v>743</v>
      </c>
      <c r="J33" s="176" t="s">
        <v>763</v>
      </c>
      <c r="K33" s="176" t="s">
        <v>265</v>
      </c>
      <c r="L33" s="173"/>
      <c r="M33" s="181"/>
      <c r="N33" s="181"/>
      <c r="O33" s="183" t="s">
        <v>754</v>
      </c>
      <c r="P33" s="183">
        <v>23.6</v>
      </c>
      <c r="Q33" s="182" t="s">
        <v>770</v>
      </c>
      <c r="R33" s="182" t="s">
        <v>770</v>
      </c>
      <c r="S33" s="182">
        <v>-2.7</v>
      </c>
      <c r="T33" s="182">
        <v>8.6</v>
      </c>
      <c r="U33" s="182">
        <v>2.9</v>
      </c>
      <c r="V33" s="182">
        <v>18.5</v>
      </c>
      <c r="W33" s="182">
        <v>16.600000000000001</v>
      </c>
      <c r="X33" s="182">
        <v>17.600000000000001</v>
      </c>
      <c r="Y33" s="182">
        <v>2.9</v>
      </c>
      <c r="Z33" s="176">
        <v>-2.1</v>
      </c>
      <c r="AA33" s="182">
        <v>8.1</v>
      </c>
      <c r="AB33" s="182">
        <v>-3.3</v>
      </c>
      <c r="AC33" s="182">
        <v>10.9</v>
      </c>
      <c r="AD33" s="182">
        <v>-1.8</v>
      </c>
      <c r="AE33" s="176">
        <v>-3.4</v>
      </c>
      <c r="AF33" s="182">
        <v>8</v>
      </c>
      <c r="AG33" s="182">
        <v>2.2999999999999998</v>
      </c>
      <c r="AH33" s="182">
        <v>0.3</v>
      </c>
      <c r="AI33" s="184">
        <v>7.3929999999999998</v>
      </c>
      <c r="AJ33" s="176">
        <v>8</v>
      </c>
      <c r="AK33" s="176" t="s">
        <v>796</v>
      </c>
      <c r="AL33" s="182">
        <f>SUM(L33:AH33)</f>
        <v>107</v>
      </c>
      <c r="AM33" s="185" t="s">
        <v>73</v>
      </c>
      <c r="AN33" s="183" t="s">
        <v>999</v>
      </c>
      <c r="AO33" s="183" t="s">
        <v>545</v>
      </c>
      <c r="AP33" s="186">
        <f t="shared" si="0"/>
        <v>0.3</v>
      </c>
      <c r="AQ33" s="187">
        <v>1</v>
      </c>
      <c r="AR33" s="188">
        <f t="shared" si="1"/>
        <v>16.600000000000001</v>
      </c>
      <c r="AS33" s="188">
        <f t="shared" si="2"/>
        <v>-1.8</v>
      </c>
      <c r="AT33" s="188">
        <f t="shared" si="2"/>
        <v>-3.4</v>
      </c>
      <c r="AU33" s="188">
        <f t="shared" si="3"/>
        <v>0.3</v>
      </c>
      <c r="AV33" s="188">
        <f t="shared" si="4"/>
        <v>5.3999999999999995</v>
      </c>
    </row>
    <row r="34" spans="1:48">
      <c r="A34" s="176">
        <v>220</v>
      </c>
      <c r="B34" s="180"/>
      <c r="C34" s="176" t="s">
        <v>797</v>
      </c>
      <c r="D34" s="176" t="s">
        <v>38</v>
      </c>
      <c r="E34" s="176" t="s">
        <v>74</v>
      </c>
      <c r="F34" s="176" t="s">
        <v>75</v>
      </c>
      <c r="G34" s="176" t="s">
        <v>12</v>
      </c>
      <c r="H34" s="176" t="s">
        <v>19</v>
      </c>
      <c r="I34" s="176" t="s">
        <v>743</v>
      </c>
      <c r="J34" s="176" t="s">
        <v>54</v>
      </c>
      <c r="K34" s="176" t="s">
        <v>265</v>
      </c>
      <c r="L34" s="182">
        <v>39.6</v>
      </c>
      <c r="M34" s="182">
        <v>22.9</v>
      </c>
      <c r="N34" s="182">
        <v>24.9</v>
      </c>
      <c r="O34" s="182">
        <v>12.6</v>
      </c>
      <c r="P34" s="182">
        <v>20.8</v>
      </c>
      <c r="Q34" s="182">
        <v>35.299999999999997</v>
      </c>
      <c r="R34" s="182">
        <v>34</v>
      </c>
      <c r="S34" s="182">
        <v>-2</v>
      </c>
      <c r="T34" s="182">
        <v>59</v>
      </c>
      <c r="U34" s="182">
        <v>17.100000000000001</v>
      </c>
      <c r="V34" s="182" t="s">
        <v>770</v>
      </c>
      <c r="W34" s="182" t="s">
        <v>770</v>
      </c>
      <c r="X34" s="182" t="s">
        <v>770</v>
      </c>
      <c r="Y34" s="183" t="s">
        <v>756</v>
      </c>
      <c r="Z34" s="177"/>
      <c r="AA34" s="177"/>
      <c r="AB34" s="183" t="s">
        <v>770</v>
      </c>
      <c r="AC34" s="173" t="s">
        <v>744</v>
      </c>
      <c r="AD34" s="177"/>
      <c r="AE34" s="177">
        <v>66.900000000000006</v>
      </c>
      <c r="AF34" s="173" t="s">
        <v>744</v>
      </c>
      <c r="AG34" s="167"/>
      <c r="AH34" s="167">
        <v>30.8</v>
      </c>
      <c r="AI34" s="184">
        <v>2.2576000000000001</v>
      </c>
      <c r="AJ34" s="176">
        <v>8</v>
      </c>
      <c r="AK34" s="176" t="s">
        <v>798</v>
      </c>
      <c r="AL34" s="182">
        <f>SUM(AE34:AH34)</f>
        <v>97.7</v>
      </c>
      <c r="AM34" s="185" t="s">
        <v>619</v>
      </c>
      <c r="AN34" s="183" t="s">
        <v>999</v>
      </c>
      <c r="AO34" s="183" t="s">
        <v>545</v>
      </c>
      <c r="AP34" s="186">
        <f t="shared" si="0"/>
        <v>10.266666666666667</v>
      </c>
      <c r="AQ34" s="187">
        <v>3</v>
      </c>
      <c r="AR34" s="188" t="str">
        <f t="shared" si="1"/>
        <v>A</v>
      </c>
      <c r="AS34" s="188">
        <f t="shared" si="2"/>
        <v>0</v>
      </c>
      <c r="AT34" s="188">
        <f t="shared" si="2"/>
        <v>66.900000000000006</v>
      </c>
      <c r="AU34" s="188">
        <f t="shared" si="3"/>
        <v>30.8</v>
      </c>
      <c r="AV34" s="188">
        <f t="shared" si="4"/>
        <v>97.7</v>
      </c>
    </row>
    <row r="35" spans="1:48">
      <c r="A35" s="176">
        <v>221</v>
      </c>
      <c r="B35" s="180"/>
      <c r="C35" s="176" t="s">
        <v>799</v>
      </c>
      <c r="D35" s="176" t="s">
        <v>38</v>
      </c>
      <c r="E35" s="176" t="s">
        <v>76</v>
      </c>
      <c r="F35" s="176" t="s">
        <v>77</v>
      </c>
      <c r="G35" s="176" t="s">
        <v>12</v>
      </c>
      <c r="H35" s="176" t="s">
        <v>10</v>
      </c>
      <c r="I35" s="176" t="s">
        <v>743</v>
      </c>
      <c r="J35" s="176" t="s">
        <v>763</v>
      </c>
      <c r="K35" s="176" t="s">
        <v>265</v>
      </c>
      <c r="L35" s="177"/>
      <c r="M35" s="177"/>
      <c r="N35" s="182">
        <v>10.199999999999999</v>
      </c>
      <c r="O35" s="183" t="s">
        <v>754</v>
      </c>
      <c r="P35" s="183">
        <v>23.4</v>
      </c>
      <c r="Q35" s="182">
        <v>10.6</v>
      </c>
      <c r="R35" s="182">
        <v>7.5</v>
      </c>
      <c r="S35" s="182">
        <v>-2.4</v>
      </c>
      <c r="T35" s="182">
        <v>11.1</v>
      </c>
      <c r="U35" s="182">
        <v>1.7</v>
      </c>
      <c r="V35" s="182">
        <v>15.7</v>
      </c>
      <c r="W35" s="182">
        <v>11.8</v>
      </c>
      <c r="X35" s="182">
        <v>3.4</v>
      </c>
      <c r="Y35" s="183" t="s">
        <v>756</v>
      </c>
      <c r="Z35" s="177"/>
      <c r="AA35" s="177"/>
      <c r="AB35" s="183">
        <v>40.5</v>
      </c>
      <c r="AC35" s="176">
        <v>10.7</v>
      </c>
      <c r="AD35" s="182">
        <v>4.7</v>
      </c>
      <c r="AE35" s="176">
        <v>5.9</v>
      </c>
      <c r="AF35" s="185">
        <v>10.7</v>
      </c>
      <c r="AG35" s="182">
        <v>-0.7</v>
      </c>
      <c r="AH35" s="183">
        <v>11.9</v>
      </c>
      <c r="AI35" s="184">
        <v>4.2553000000000001</v>
      </c>
      <c r="AJ35" s="176">
        <v>8</v>
      </c>
      <c r="AK35" s="176" t="s">
        <v>800</v>
      </c>
      <c r="AL35" s="182">
        <f>SUM(L35:AH35)</f>
        <v>176.7</v>
      </c>
      <c r="AM35" s="185" t="s">
        <v>10</v>
      </c>
      <c r="AN35" s="183" t="s">
        <v>999</v>
      </c>
      <c r="AO35" s="183" t="s">
        <v>545</v>
      </c>
      <c r="AP35" s="186">
        <f t="shared" si="0"/>
        <v>11.9</v>
      </c>
      <c r="AQ35" s="187">
        <v>1</v>
      </c>
      <c r="AR35" s="188">
        <f t="shared" si="1"/>
        <v>11.8</v>
      </c>
      <c r="AS35" s="188">
        <f t="shared" si="2"/>
        <v>4.7</v>
      </c>
      <c r="AT35" s="188">
        <f t="shared" si="2"/>
        <v>5.9</v>
      </c>
      <c r="AU35" s="188">
        <f t="shared" si="3"/>
        <v>11.9</v>
      </c>
      <c r="AV35" s="188">
        <f t="shared" si="4"/>
        <v>32.5</v>
      </c>
    </row>
    <row r="36" spans="1:48">
      <c r="A36" s="176">
        <v>222</v>
      </c>
      <c r="B36" s="180"/>
      <c r="C36" s="176" t="s">
        <v>801</v>
      </c>
      <c r="D36" s="176" t="s">
        <v>38</v>
      </c>
      <c r="E36" s="176" t="s">
        <v>78</v>
      </c>
      <c r="F36" s="176" t="s">
        <v>79</v>
      </c>
      <c r="G36" s="176" t="s">
        <v>9</v>
      </c>
      <c r="H36" s="176" t="s">
        <v>10</v>
      </c>
      <c r="I36" s="176" t="s">
        <v>743</v>
      </c>
      <c r="J36" s="176" t="s">
        <v>54</v>
      </c>
      <c r="K36" s="176" t="s">
        <v>265</v>
      </c>
      <c r="L36" s="177"/>
      <c r="M36" s="177"/>
      <c r="N36" s="182">
        <v>18</v>
      </c>
      <c r="O36" s="182">
        <v>13.3</v>
      </c>
      <c r="P36" s="182">
        <v>23.3</v>
      </c>
      <c r="Q36" s="182">
        <v>13.2</v>
      </c>
      <c r="R36" s="182" t="s">
        <v>770</v>
      </c>
      <c r="S36" s="182">
        <v>9.8000000000000007</v>
      </c>
      <c r="T36" s="182">
        <v>27</v>
      </c>
      <c r="U36" s="182">
        <v>13.6</v>
      </c>
      <c r="V36" s="182">
        <v>28.3</v>
      </c>
      <c r="W36" s="182">
        <v>31.3</v>
      </c>
      <c r="X36" s="182">
        <v>23.5</v>
      </c>
      <c r="Y36" s="177"/>
      <c r="Z36" s="177"/>
      <c r="AA36" s="177"/>
      <c r="AB36" s="183" t="s">
        <v>47</v>
      </c>
      <c r="AC36" s="173" t="s">
        <v>744</v>
      </c>
      <c r="AD36" s="177"/>
      <c r="AE36" s="177">
        <v>23.1</v>
      </c>
      <c r="AF36" s="173" t="s">
        <v>744</v>
      </c>
      <c r="AG36" s="183"/>
      <c r="AH36" s="183">
        <v>23.7</v>
      </c>
      <c r="AI36" s="184">
        <v>2.3767999999999998</v>
      </c>
      <c r="AJ36" s="176">
        <v>8</v>
      </c>
      <c r="AK36" s="176" t="s">
        <v>802</v>
      </c>
      <c r="AL36" s="182">
        <f>SUM(AE36:AH36)</f>
        <v>46.8</v>
      </c>
      <c r="AM36" s="185" t="s">
        <v>619</v>
      </c>
      <c r="AN36" s="183" t="s">
        <v>999</v>
      </c>
      <c r="AO36" s="183" t="s">
        <v>545</v>
      </c>
      <c r="AP36" s="186">
        <f t="shared" si="0"/>
        <v>7.8999999999999995</v>
      </c>
      <c r="AQ36" s="187">
        <v>3</v>
      </c>
      <c r="AR36" s="188">
        <f t="shared" si="1"/>
        <v>31.3</v>
      </c>
      <c r="AS36" s="188">
        <f t="shared" si="2"/>
        <v>0</v>
      </c>
      <c r="AT36" s="188">
        <f t="shared" si="2"/>
        <v>23.1</v>
      </c>
      <c r="AU36" s="188">
        <f t="shared" si="3"/>
        <v>23.7</v>
      </c>
      <c r="AV36" s="188">
        <f t="shared" si="4"/>
        <v>46.8</v>
      </c>
    </row>
    <row r="37" spans="1:48">
      <c r="A37" s="176">
        <v>223</v>
      </c>
      <c r="B37" s="180"/>
      <c r="C37" s="176" t="s">
        <v>803</v>
      </c>
      <c r="D37" s="176" t="s">
        <v>38</v>
      </c>
      <c r="E37" s="176" t="s">
        <v>80</v>
      </c>
      <c r="F37" s="176" t="s">
        <v>81</v>
      </c>
      <c r="G37" s="176" t="s">
        <v>9</v>
      </c>
      <c r="H37" s="176" t="s">
        <v>10</v>
      </c>
      <c r="I37" s="176" t="s">
        <v>743</v>
      </c>
      <c r="J37" s="176" t="s">
        <v>763</v>
      </c>
      <c r="K37" s="176" t="s">
        <v>270</v>
      </c>
      <c r="L37" s="177"/>
      <c r="M37" s="177"/>
      <c r="N37" s="182">
        <v>6.1</v>
      </c>
      <c r="O37" s="182" t="s">
        <v>770</v>
      </c>
      <c r="P37" s="182" t="s">
        <v>770</v>
      </c>
      <c r="Q37" s="182">
        <v>26.1</v>
      </c>
      <c r="R37" s="182">
        <v>5.9</v>
      </c>
      <c r="S37" s="182">
        <v>-6</v>
      </c>
      <c r="T37" s="182">
        <v>12.8</v>
      </c>
      <c r="U37" s="182">
        <v>2.8</v>
      </c>
      <c r="V37" s="182">
        <v>16.600000000000001</v>
      </c>
      <c r="W37" s="182">
        <v>6.2</v>
      </c>
      <c r="X37" s="182">
        <v>1.6</v>
      </c>
      <c r="Y37" s="183" t="s">
        <v>756</v>
      </c>
      <c r="Z37" s="177"/>
      <c r="AA37" s="177"/>
      <c r="AB37" s="183">
        <v>16.600000000000001</v>
      </c>
      <c r="AC37" s="173" t="s">
        <v>744</v>
      </c>
      <c r="AD37" s="177"/>
      <c r="AE37" s="177">
        <v>17.899999999999999</v>
      </c>
      <c r="AF37" s="173" t="s">
        <v>744</v>
      </c>
      <c r="AG37" s="183"/>
      <c r="AH37" s="183">
        <v>16.2</v>
      </c>
      <c r="AI37" s="184">
        <v>2.0827</v>
      </c>
      <c r="AJ37" s="176">
        <v>8</v>
      </c>
      <c r="AK37" s="176" t="s">
        <v>804</v>
      </c>
      <c r="AL37" s="182">
        <f>SUM(Q37:AH37)</f>
        <v>116.7</v>
      </c>
      <c r="AM37" s="185" t="s">
        <v>31</v>
      </c>
      <c r="AN37" s="183" t="s">
        <v>999</v>
      </c>
      <c r="AO37" s="183" t="s">
        <v>545</v>
      </c>
      <c r="AP37" s="186">
        <f t="shared" si="0"/>
        <v>5.3999999999999995</v>
      </c>
      <c r="AQ37" s="187">
        <v>3</v>
      </c>
      <c r="AR37" s="188">
        <f t="shared" si="1"/>
        <v>6.2</v>
      </c>
      <c r="AS37" s="188">
        <f t="shared" si="2"/>
        <v>0</v>
      </c>
      <c r="AT37" s="188">
        <f t="shared" si="2"/>
        <v>17.899999999999999</v>
      </c>
      <c r="AU37" s="188">
        <f t="shared" si="3"/>
        <v>16.2</v>
      </c>
      <c r="AV37" s="188">
        <f t="shared" si="4"/>
        <v>34.099999999999994</v>
      </c>
    </row>
    <row r="38" spans="1:48">
      <c r="A38" s="176">
        <v>224</v>
      </c>
      <c r="B38" s="180"/>
      <c r="C38" s="176" t="s">
        <v>805</v>
      </c>
      <c r="D38" s="176" t="s">
        <v>38</v>
      </c>
      <c r="E38" s="176" t="s">
        <v>82</v>
      </c>
      <c r="F38" s="176" t="s">
        <v>83</v>
      </c>
      <c r="G38" s="176" t="s">
        <v>9</v>
      </c>
      <c r="H38" s="176" t="s">
        <v>10</v>
      </c>
      <c r="I38" s="176" t="s">
        <v>743</v>
      </c>
      <c r="J38" s="176" t="s">
        <v>763</v>
      </c>
      <c r="K38" s="176" t="s">
        <v>270</v>
      </c>
      <c r="L38" s="177"/>
      <c r="M38" s="177"/>
      <c r="N38" s="182">
        <v>38.4</v>
      </c>
      <c r="O38" s="182">
        <v>12.8</v>
      </c>
      <c r="P38" s="182">
        <v>4.3</v>
      </c>
      <c r="Q38" s="182">
        <v>10.8</v>
      </c>
      <c r="R38" s="182">
        <v>4.3</v>
      </c>
      <c r="S38" s="182">
        <v>2.9</v>
      </c>
      <c r="T38" s="182">
        <v>19.399999999999999</v>
      </c>
      <c r="U38" s="182">
        <v>-7.8</v>
      </c>
      <c r="V38" s="182">
        <v>15.4</v>
      </c>
      <c r="W38" s="182">
        <v>-2.6</v>
      </c>
      <c r="X38" s="182">
        <v>0.4</v>
      </c>
      <c r="Y38" s="183" t="s">
        <v>756</v>
      </c>
      <c r="Z38" s="177"/>
      <c r="AA38" s="177"/>
      <c r="AB38" s="183">
        <v>16.8</v>
      </c>
      <c r="AC38" s="173" t="s">
        <v>744</v>
      </c>
      <c r="AD38" s="177"/>
      <c r="AE38" s="177">
        <v>13.3</v>
      </c>
      <c r="AF38" s="173" t="s">
        <v>744</v>
      </c>
      <c r="AG38" s="183"/>
      <c r="AH38" s="183">
        <v>19.399999999999999</v>
      </c>
      <c r="AI38" s="184">
        <v>3.8910999999999998</v>
      </c>
      <c r="AJ38" s="176">
        <v>8</v>
      </c>
      <c r="AK38" s="176"/>
      <c r="AL38" s="182">
        <f>SUM(L38:AH38)</f>
        <v>147.80000000000004</v>
      </c>
      <c r="AM38" s="185" t="s">
        <v>10</v>
      </c>
      <c r="AN38" s="183" t="s">
        <v>999</v>
      </c>
      <c r="AO38" s="183" t="s">
        <v>545</v>
      </c>
      <c r="AP38" s="186">
        <f t="shared" si="0"/>
        <v>6.4666666666666659</v>
      </c>
      <c r="AQ38" s="187">
        <v>3</v>
      </c>
      <c r="AR38" s="188">
        <f t="shared" si="1"/>
        <v>-2.6</v>
      </c>
      <c r="AS38" s="188">
        <f t="shared" si="2"/>
        <v>0</v>
      </c>
      <c r="AT38" s="188">
        <f t="shared" si="2"/>
        <v>13.3</v>
      </c>
      <c r="AU38" s="188">
        <f t="shared" si="3"/>
        <v>19.399999999999999</v>
      </c>
      <c r="AV38" s="188">
        <f t="shared" si="4"/>
        <v>32.700000000000003</v>
      </c>
    </row>
    <row r="39" spans="1:48">
      <c r="A39" s="176">
        <v>225</v>
      </c>
      <c r="B39" s="180"/>
      <c r="C39" s="176" t="s">
        <v>806</v>
      </c>
      <c r="D39" s="176" t="s">
        <v>38</v>
      </c>
      <c r="E39" s="176" t="s">
        <v>271</v>
      </c>
      <c r="F39" s="176" t="s">
        <v>272</v>
      </c>
      <c r="G39" s="176" t="s">
        <v>9</v>
      </c>
      <c r="H39" s="176" t="s">
        <v>10</v>
      </c>
      <c r="I39" s="176" t="s">
        <v>743</v>
      </c>
      <c r="J39" s="176" t="s">
        <v>763</v>
      </c>
      <c r="K39" s="176" t="s">
        <v>270</v>
      </c>
      <c r="L39" s="177"/>
      <c r="M39" s="177"/>
      <c r="N39" s="182">
        <v>32.700000000000003</v>
      </c>
      <c r="O39" s="182">
        <v>11</v>
      </c>
      <c r="P39" s="182">
        <v>16.600000000000001</v>
      </c>
      <c r="Q39" s="182">
        <v>16.399999999999999</v>
      </c>
      <c r="R39" s="182">
        <v>5.3</v>
      </c>
      <c r="S39" s="182">
        <v>6.5</v>
      </c>
      <c r="T39" s="182">
        <v>26</v>
      </c>
      <c r="U39" s="182">
        <v>-1.4</v>
      </c>
      <c r="V39" s="182">
        <v>26.1</v>
      </c>
      <c r="W39" s="182">
        <v>47.4</v>
      </c>
      <c r="X39" s="182">
        <v>28.2</v>
      </c>
      <c r="Y39" s="183" t="s">
        <v>756</v>
      </c>
      <c r="Z39" s="177"/>
      <c r="AA39" s="177"/>
      <c r="AB39" s="183">
        <v>16.3</v>
      </c>
      <c r="AC39" s="173" t="s">
        <v>744</v>
      </c>
      <c r="AD39" s="177"/>
      <c r="AE39" s="183">
        <v>11</v>
      </c>
      <c r="AF39" s="173" t="s">
        <v>744</v>
      </c>
      <c r="AG39" s="183"/>
      <c r="AH39" s="183">
        <v>15.2</v>
      </c>
      <c r="AI39" s="184">
        <v>3.6545000000000001</v>
      </c>
      <c r="AJ39" s="176">
        <v>8</v>
      </c>
      <c r="AK39" s="176"/>
      <c r="AL39" s="182">
        <f>SUM(L39:AH39)</f>
        <v>257.3</v>
      </c>
      <c r="AM39" s="185" t="s">
        <v>10</v>
      </c>
      <c r="AN39" s="183" t="s">
        <v>999</v>
      </c>
      <c r="AO39" s="183" t="s">
        <v>545</v>
      </c>
      <c r="AP39" s="186">
        <f t="shared" si="0"/>
        <v>5.0666666666666664</v>
      </c>
      <c r="AQ39" s="187">
        <v>3</v>
      </c>
      <c r="AR39" s="188">
        <f t="shared" si="1"/>
        <v>47.4</v>
      </c>
      <c r="AS39" s="188">
        <f t="shared" si="2"/>
        <v>0</v>
      </c>
      <c r="AT39" s="188">
        <f t="shared" si="2"/>
        <v>11</v>
      </c>
      <c r="AU39" s="188">
        <f t="shared" si="3"/>
        <v>15.2</v>
      </c>
      <c r="AV39" s="188">
        <f t="shared" si="4"/>
        <v>26.2</v>
      </c>
    </row>
    <row r="40" spans="1:48">
      <c r="A40" s="176">
        <v>226</v>
      </c>
      <c r="B40" s="180"/>
      <c r="C40" s="176" t="s">
        <v>809</v>
      </c>
      <c r="D40" s="176" t="s">
        <v>38</v>
      </c>
      <c r="E40" s="176" t="s">
        <v>273</v>
      </c>
      <c r="F40" s="176" t="s">
        <v>84</v>
      </c>
      <c r="G40" s="176" t="s">
        <v>9</v>
      </c>
      <c r="H40" s="176" t="s">
        <v>10</v>
      </c>
      <c r="I40" s="176" t="s">
        <v>64</v>
      </c>
      <c r="J40" s="176" t="s">
        <v>763</v>
      </c>
      <c r="K40" s="176" t="s">
        <v>270</v>
      </c>
      <c r="L40" s="177"/>
      <c r="M40" s="177"/>
      <c r="N40" s="182">
        <v>8.5</v>
      </c>
      <c r="O40" s="183" t="s">
        <v>754</v>
      </c>
      <c r="P40" s="183">
        <v>9.9</v>
      </c>
      <c r="Q40" s="182">
        <v>19.2</v>
      </c>
      <c r="R40" s="182">
        <v>-3.4</v>
      </c>
      <c r="S40" s="182">
        <v>-5.0999999999999996</v>
      </c>
      <c r="T40" s="182">
        <v>13.7</v>
      </c>
      <c r="U40" s="182">
        <v>-6.9</v>
      </c>
      <c r="V40" s="182">
        <v>20.399999999999999</v>
      </c>
      <c r="W40" s="182">
        <v>18.8</v>
      </c>
      <c r="X40" s="182">
        <v>8.4</v>
      </c>
      <c r="Y40" s="183" t="s">
        <v>756</v>
      </c>
      <c r="Z40" s="177"/>
      <c r="AA40" s="177"/>
      <c r="AB40" s="183">
        <v>-0.4</v>
      </c>
      <c r="AC40" s="173" t="s">
        <v>744</v>
      </c>
      <c r="AD40" s="177"/>
      <c r="AE40" s="177">
        <v>2.8</v>
      </c>
      <c r="AF40" s="173" t="s">
        <v>744</v>
      </c>
      <c r="AG40" s="183"/>
      <c r="AH40" s="183">
        <v>11.7</v>
      </c>
      <c r="AI40" s="184">
        <v>5.5018000000000002</v>
      </c>
      <c r="AJ40" s="176">
        <v>8</v>
      </c>
      <c r="AK40" s="176"/>
      <c r="AL40" s="182">
        <f>SUM(L40:AH40)</f>
        <v>97.6</v>
      </c>
      <c r="AM40" s="185" t="s">
        <v>10</v>
      </c>
      <c r="AN40" s="183" t="s">
        <v>999</v>
      </c>
      <c r="AO40" s="183" t="s">
        <v>545</v>
      </c>
      <c r="AP40" s="186">
        <f t="shared" si="0"/>
        <v>3.9</v>
      </c>
      <c r="AQ40" s="187">
        <v>3</v>
      </c>
      <c r="AR40" s="188">
        <f t="shared" si="1"/>
        <v>18.8</v>
      </c>
      <c r="AS40" s="188">
        <f t="shared" si="2"/>
        <v>0</v>
      </c>
      <c r="AT40" s="188">
        <f t="shared" si="2"/>
        <v>2.8</v>
      </c>
      <c r="AU40" s="188">
        <f t="shared" si="3"/>
        <v>11.7</v>
      </c>
      <c r="AV40" s="188">
        <f t="shared" si="4"/>
        <v>14.5</v>
      </c>
    </row>
    <row r="41" spans="1:48">
      <c r="A41" s="176">
        <v>227</v>
      </c>
      <c r="B41" s="180"/>
      <c r="C41" s="176" t="s">
        <v>812</v>
      </c>
      <c r="D41" s="176" t="s">
        <v>38</v>
      </c>
      <c r="E41" s="176" t="s">
        <v>274</v>
      </c>
      <c r="F41" s="176" t="s">
        <v>85</v>
      </c>
      <c r="G41" s="176" t="s">
        <v>9</v>
      </c>
      <c r="H41" s="176" t="s">
        <v>73</v>
      </c>
      <c r="I41" s="176" t="s">
        <v>64</v>
      </c>
      <c r="J41" s="176" t="s">
        <v>763</v>
      </c>
      <c r="K41" s="176" t="s">
        <v>270</v>
      </c>
      <c r="L41" s="177"/>
      <c r="M41" s="177"/>
      <c r="N41" s="181"/>
      <c r="O41" s="183" t="s">
        <v>754</v>
      </c>
      <c r="P41" s="183">
        <v>6.6</v>
      </c>
      <c r="Q41" s="182">
        <v>3.5</v>
      </c>
      <c r="R41" s="182">
        <v>3.1</v>
      </c>
      <c r="S41" s="182">
        <v>-4</v>
      </c>
      <c r="T41" s="182">
        <v>4.5</v>
      </c>
      <c r="U41" s="183" t="s">
        <v>754</v>
      </c>
      <c r="V41" s="183">
        <v>0</v>
      </c>
      <c r="W41" s="182" t="s">
        <v>775</v>
      </c>
      <c r="X41" s="177"/>
      <c r="Y41" s="177"/>
      <c r="Z41" s="177"/>
      <c r="AA41" s="177"/>
      <c r="AB41" s="183">
        <v>-1</v>
      </c>
      <c r="AC41" s="173" t="s">
        <v>744</v>
      </c>
      <c r="AD41" s="177"/>
      <c r="AE41" s="177">
        <v>0.7</v>
      </c>
      <c r="AF41" s="173" t="s">
        <v>744</v>
      </c>
      <c r="AG41" s="183"/>
      <c r="AH41" s="183">
        <v>2.2999999999999998</v>
      </c>
      <c r="AI41" s="184">
        <v>2.4504999999999999</v>
      </c>
      <c r="AJ41" s="176">
        <v>8</v>
      </c>
      <c r="AK41" s="176"/>
      <c r="AL41" s="182">
        <f>SUM(L41:AH41)</f>
        <v>15.7</v>
      </c>
      <c r="AM41" s="185" t="s">
        <v>73</v>
      </c>
      <c r="AN41" s="183" t="s">
        <v>999</v>
      </c>
      <c r="AO41" s="183" t="s">
        <v>545</v>
      </c>
      <c r="AP41" s="186">
        <f t="shared" si="0"/>
        <v>0.76666666666666661</v>
      </c>
      <c r="AQ41" s="187">
        <v>3</v>
      </c>
      <c r="AR41" s="188" t="str">
        <f t="shared" si="1"/>
        <v>６年累積</v>
      </c>
      <c r="AS41" s="188">
        <f t="shared" si="2"/>
        <v>0</v>
      </c>
      <c r="AT41" s="188">
        <f t="shared" si="2"/>
        <v>0.7</v>
      </c>
      <c r="AU41" s="188">
        <f t="shared" si="3"/>
        <v>2.2999999999999998</v>
      </c>
      <c r="AV41" s="188">
        <f t="shared" si="4"/>
        <v>3</v>
      </c>
    </row>
    <row r="42" spans="1:48">
      <c r="A42" s="176">
        <v>228</v>
      </c>
      <c r="B42" s="180"/>
      <c r="C42" s="176" t="s">
        <v>814</v>
      </c>
      <c r="D42" s="176" t="s">
        <v>38</v>
      </c>
      <c r="E42" s="176" t="s">
        <v>86</v>
      </c>
      <c r="F42" s="176" t="s">
        <v>815</v>
      </c>
      <c r="G42" s="176" t="s">
        <v>9</v>
      </c>
      <c r="H42" s="176" t="s">
        <v>73</v>
      </c>
      <c r="I42" s="176" t="s">
        <v>743</v>
      </c>
      <c r="J42" s="176" t="s">
        <v>54</v>
      </c>
      <c r="K42" s="176" t="s">
        <v>270</v>
      </c>
      <c r="L42" s="177"/>
      <c r="M42" s="177"/>
      <c r="N42" s="181"/>
      <c r="O42" s="183" t="s">
        <v>754</v>
      </c>
      <c r="P42" s="183">
        <v>12</v>
      </c>
      <c r="Q42" s="182">
        <v>4.4000000000000004</v>
      </c>
      <c r="R42" s="182">
        <v>3.4</v>
      </c>
      <c r="S42" s="182">
        <v>-3.3</v>
      </c>
      <c r="T42" s="177"/>
      <c r="U42" s="177"/>
      <c r="V42" s="183" t="s">
        <v>47</v>
      </c>
      <c r="W42" s="183" t="s">
        <v>87</v>
      </c>
      <c r="X42" s="177"/>
      <c r="Y42" s="177"/>
      <c r="Z42" s="177"/>
      <c r="AA42" s="177"/>
      <c r="AB42" s="183" t="s">
        <v>47</v>
      </c>
      <c r="AC42" s="173" t="s">
        <v>744</v>
      </c>
      <c r="AD42" s="177"/>
      <c r="AE42" s="177">
        <v>2.5</v>
      </c>
      <c r="AF42" s="173" t="s">
        <v>744</v>
      </c>
      <c r="AG42" s="183"/>
      <c r="AH42" s="183">
        <v>2.9</v>
      </c>
      <c r="AI42" s="184">
        <v>3.9973000000000001</v>
      </c>
      <c r="AJ42" s="176">
        <v>8</v>
      </c>
      <c r="AK42" s="176" t="s">
        <v>816</v>
      </c>
      <c r="AL42" s="182">
        <f>SUM(AE42:AH42)</f>
        <v>5.4</v>
      </c>
      <c r="AM42" s="185" t="s">
        <v>619</v>
      </c>
      <c r="AN42" s="183" t="s">
        <v>999</v>
      </c>
      <c r="AO42" s="183" t="s">
        <v>545</v>
      </c>
      <c r="AP42" s="186">
        <f t="shared" si="0"/>
        <v>0.96666666666666667</v>
      </c>
      <c r="AQ42" s="187">
        <v>3</v>
      </c>
      <c r="AR42" s="188" t="str">
        <f t="shared" si="1"/>
        <v>再設</v>
      </c>
      <c r="AS42" s="188">
        <f t="shared" si="2"/>
        <v>0</v>
      </c>
      <c r="AT42" s="188">
        <f t="shared" si="2"/>
        <v>2.5</v>
      </c>
      <c r="AU42" s="188">
        <f t="shared" si="3"/>
        <v>2.9</v>
      </c>
      <c r="AV42" s="188">
        <f t="shared" si="4"/>
        <v>5.4</v>
      </c>
    </row>
    <row r="43" spans="1:48">
      <c r="A43" s="176">
        <v>229</v>
      </c>
      <c r="B43" s="180"/>
      <c r="C43" s="176" t="s">
        <v>817</v>
      </c>
      <c r="D43" s="176" t="s">
        <v>38</v>
      </c>
      <c r="E43" s="176" t="s">
        <v>88</v>
      </c>
      <c r="F43" s="176" t="s">
        <v>89</v>
      </c>
      <c r="G43" s="176" t="s">
        <v>9</v>
      </c>
      <c r="H43" s="176" t="s">
        <v>73</v>
      </c>
      <c r="I43" s="176" t="s">
        <v>743</v>
      </c>
      <c r="J43" s="176" t="s">
        <v>54</v>
      </c>
      <c r="K43" s="176" t="s">
        <v>270</v>
      </c>
      <c r="L43" s="177"/>
      <c r="M43" s="177"/>
      <c r="N43" s="181"/>
      <c r="O43" s="183" t="s">
        <v>754</v>
      </c>
      <c r="P43" s="183">
        <v>14.7</v>
      </c>
      <c r="Q43" s="182">
        <v>19.5</v>
      </c>
      <c r="R43" s="182">
        <v>7.9</v>
      </c>
      <c r="S43" s="182">
        <v>0.4</v>
      </c>
      <c r="T43" s="182">
        <v>39</v>
      </c>
      <c r="U43" s="177"/>
      <c r="V43" s="183" t="s">
        <v>47</v>
      </c>
      <c r="W43" s="183" t="s">
        <v>87</v>
      </c>
      <c r="X43" s="177"/>
      <c r="Y43" s="177"/>
      <c r="Z43" s="177"/>
      <c r="AA43" s="177"/>
      <c r="AB43" s="183" t="s">
        <v>47</v>
      </c>
      <c r="AC43" s="173" t="s">
        <v>744</v>
      </c>
      <c r="AD43" s="177"/>
      <c r="AE43" s="177">
        <v>13.2</v>
      </c>
      <c r="AF43" s="173" t="s">
        <v>744</v>
      </c>
      <c r="AG43" s="183"/>
      <c r="AH43" s="183">
        <v>12.5</v>
      </c>
      <c r="AI43" s="184">
        <v>5.0195999999999996</v>
      </c>
      <c r="AJ43" s="176">
        <v>8</v>
      </c>
      <c r="AK43" s="176" t="s">
        <v>818</v>
      </c>
      <c r="AL43" s="182">
        <f>SUM(AE43:AH43)</f>
        <v>25.7</v>
      </c>
      <c r="AM43" s="185" t="s">
        <v>619</v>
      </c>
      <c r="AN43" s="183" t="s">
        <v>999</v>
      </c>
      <c r="AO43" s="183" t="s">
        <v>545</v>
      </c>
      <c r="AP43" s="186">
        <f t="shared" si="0"/>
        <v>4.166666666666667</v>
      </c>
      <c r="AQ43" s="187">
        <v>3</v>
      </c>
      <c r="AR43" s="188" t="str">
        <f t="shared" si="1"/>
        <v>再設</v>
      </c>
      <c r="AS43" s="188">
        <f t="shared" si="2"/>
        <v>0</v>
      </c>
      <c r="AT43" s="188">
        <f t="shared" si="2"/>
        <v>13.2</v>
      </c>
      <c r="AU43" s="188">
        <f t="shared" si="3"/>
        <v>12.5</v>
      </c>
      <c r="AV43" s="188">
        <f t="shared" si="4"/>
        <v>25.7</v>
      </c>
    </row>
    <row r="44" spans="1:48">
      <c r="A44" s="176">
        <v>230</v>
      </c>
      <c r="B44" s="180"/>
      <c r="C44" s="176" t="s">
        <v>819</v>
      </c>
      <c r="D44" s="176" t="s">
        <v>38</v>
      </c>
      <c r="E44" s="176" t="s">
        <v>90</v>
      </c>
      <c r="F44" s="176" t="s">
        <v>91</v>
      </c>
      <c r="G44" s="176" t="s">
        <v>9</v>
      </c>
      <c r="H44" s="176" t="s">
        <v>31</v>
      </c>
      <c r="I44" s="176" t="s">
        <v>743</v>
      </c>
      <c r="J44" s="176" t="s">
        <v>763</v>
      </c>
      <c r="K44" s="176" t="s">
        <v>270</v>
      </c>
      <c r="L44" s="177"/>
      <c r="M44" s="177"/>
      <c r="N44" s="177"/>
      <c r="O44" s="177"/>
      <c r="P44" s="177"/>
      <c r="Q44" s="182">
        <v>8.1</v>
      </c>
      <c r="R44" s="182">
        <v>7.2</v>
      </c>
      <c r="S44" s="182">
        <v>16.2</v>
      </c>
      <c r="T44" s="182">
        <v>15.5</v>
      </c>
      <c r="U44" s="182">
        <v>-3.1</v>
      </c>
      <c r="V44" s="182">
        <v>9.1999999999999993</v>
      </c>
      <c r="W44" s="183" t="s">
        <v>775</v>
      </c>
      <c r="X44" s="177"/>
      <c r="Y44" s="177"/>
      <c r="Z44" s="177"/>
      <c r="AA44" s="177"/>
      <c r="AB44" s="183">
        <v>12.8</v>
      </c>
      <c r="AC44" s="173" t="s">
        <v>744</v>
      </c>
      <c r="AD44" s="177"/>
      <c r="AE44" s="177">
        <v>3.9</v>
      </c>
      <c r="AF44" s="173" t="s">
        <v>744</v>
      </c>
      <c r="AG44" s="183"/>
      <c r="AH44" s="183">
        <v>7</v>
      </c>
      <c r="AI44" s="184">
        <v>3.1983999999999999</v>
      </c>
      <c r="AJ44" s="176">
        <v>8</v>
      </c>
      <c r="AK44" s="176"/>
      <c r="AL44" s="182">
        <f>SUM(L44:AH44)</f>
        <v>76.8</v>
      </c>
      <c r="AM44" s="185" t="s">
        <v>31</v>
      </c>
      <c r="AN44" s="183" t="s">
        <v>999</v>
      </c>
      <c r="AO44" s="183" t="s">
        <v>545</v>
      </c>
      <c r="AP44" s="186">
        <f t="shared" si="0"/>
        <v>2.3333333333333335</v>
      </c>
      <c r="AQ44" s="187">
        <v>3</v>
      </c>
      <c r="AR44" s="188" t="str">
        <f t="shared" si="1"/>
        <v>６年累積</v>
      </c>
      <c r="AS44" s="188">
        <f t="shared" si="2"/>
        <v>0</v>
      </c>
      <c r="AT44" s="188">
        <f t="shared" si="2"/>
        <v>3.9</v>
      </c>
      <c r="AU44" s="188">
        <f t="shared" si="3"/>
        <v>7</v>
      </c>
      <c r="AV44" s="188">
        <f t="shared" si="4"/>
        <v>10.9</v>
      </c>
    </row>
    <row r="45" spans="1:48">
      <c r="A45" s="176">
        <v>231</v>
      </c>
      <c r="B45" s="180"/>
      <c r="C45" s="176" t="s">
        <v>820</v>
      </c>
      <c r="D45" s="176" t="s">
        <v>38</v>
      </c>
      <c r="E45" s="176" t="s">
        <v>275</v>
      </c>
      <c r="F45" s="176" t="s">
        <v>92</v>
      </c>
      <c r="G45" s="176" t="s">
        <v>9</v>
      </c>
      <c r="H45" s="176" t="s">
        <v>31</v>
      </c>
      <c r="I45" s="176" t="s">
        <v>64</v>
      </c>
      <c r="J45" s="176" t="s">
        <v>54</v>
      </c>
      <c r="K45" s="176" t="s">
        <v>270</v>
      </c>
      <c r="L45" s="177"/>
      <c r="M45" s="177"/>
      <c r="N45" s="177"/>
      <c r="O45" s="177"/>
      <c r="P45" s="177"/>
      <c r="Q45" s="182" t="s">
        <v>770</v>
      </c>
      <c r="R45" s="182">
        <v>14.3</v>
      </c>
      <c r="S45" s="182">
        <v>7.4</v>
      </c>
      <c r="T45" s="182" t="s">
        <v>770</v>
      </c>
      <c r="U45" s="183" t="s">
        <v>93</v>
      </c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83"/>
      <c r="AG45" s="183"/>
      <c r="AH45" s="183">
        <v>250.2</v>
      </c>
      <c r="AI45" s="184">
        <v>5.6725000000000003</v>
      </c>
      <c r="AJ45" s="176">
        <v>8</v>
      </c>
      <c r="AK45" s="176" t="s">
        <v>822</v>
      </c>
      <c r="AL45" s="182">
        <f>SUM(U45:AH45)</f>
        <v>250.2</v>
      </c>
      <c r="AM45" s="185" t="s">
        <v>612</v>
      </c>
      <c r="AN45" s="183" t="s">
        <v>999</v>
      </c>
      <c r="AO45" s="183" t="s">
        <v>545</v>
      </c>
      <c r="AP45" s="186">
        <f t="shared" si="0"/>
        <v>17.87142857142857</v>
      </c>
      <c r="AQ45" s="187">
        <v>14</v>
      </c>
      <c r="AR45" s="188">
        <f t="shared" si="1"/>
        <v>0</v>
      </c>
      <c r="AS45" s="188">
        <f t="shared" si="2"/>
        <v>0</v>
      </c>
      <c r="AT45" s="188">
        <f t="shared" si="2"/>
        <v>0</v>
      </c>
      <c r="AU45" s="188">
        <f t="shared" si="3"/>
        <v>250.2</v>
      </c>
      <c r="AV45" s="188">
        <f t="shared" si="4"/>
        <v>250.2</v>
      </c>
    </row>
    <row r="46" spans="1:48">
      <c r="A46" s="176">
        <v>232</v>
      </c>
      <c r="B46" s="180"/>
      <c r="C46" s="176" t="s">
        <v>823</v>
      </c>
      <c r="D46" s="176" t="s">
        <v>38</v>
      </c>
      <c r="E46" s="176" t="s">
        <v>1008</v>
      </c>
      <c r="F46" s="176" t="s">
        <v>825</v>
      </c>
      <c r="G46" s="176" t="s">
        <v>9</v>
      </c>
      <c r="H46" s="176" t="s">
        <v>31</v>
      </c>
      <c r="I46" s="176" t="s">
        <v>64</v>
      </c>
      <c r="J46" s="176" t="s">
        <v>763</v>
      </c>
      <c r="K46" s="176" t="s">
        <v>270</v>
      </c>
      <c r="L46" s="177"/>
      <c r="M46" s="177"/>
      <c r="N46" s="177"/>
      <c r="O46" s="177"/>
      <c r="P46" s="177"/>
      <c r="Q46" s="182">
        <v>48.6</v>
      </c>
      <c r="R46" s="182">
        <v>12.4</v>
      </c>
      <c r="S46" s="182">
        <v>8.9</v>
      </c>
      <c r="T46" s="182">
        <v>20.6</v>
      </c>
      <c r="U46" s="182">
        <v>0.2</v>
      </c>
      <c r="V46" s="182">
        <v>27.2</v>
      </c>
      <c r="W46" s="177"/>
      <c r="X46" s="177"/>
      <c r="Y46" s="177"/>
      <c r="Z46" s="177"/>
      <c r="AA46" s="177"/>
      <c r="AB46" s="177"/>
      <c r="AC46" s="177"/>
      <c r="AD46" s="177"/>
      <c r="AE46" s="177"/>
      <c r="AF46" s="183"/>
      <c r="AG46" s="183"/>
      <c r="AH46" s="183"/>
      <c r="AI46" s="184">
        <v>2.8774000000000002</v>
      </c>
      <c r="AJ46" s="176">
        <v>59</v>
      </c>
      <c r="AK46" s="176" t="s">
        <v>20</v>
      </c>
      <c r="AL46" s="182"/>
      <c r="AM46" s="185"/>
      <c r="AN46" s="183"/>
      <c r="AO46" s="183"/>
      <c r="AP46" s="186"/>
      <c r="AQ46" s="187"/>
      <c r="AR46" s="188">
        <f t="shared" si="1"/>
        <v>0</v>
      </c>
      <c r="AS46" s="188">
        <f t="shared" si="2"/>
        <v>0</v>
      </c>
      <c r="AT46" s="188">
        <f t="shared" si="2"/>
        <v>0</v>
      </c>
      <c r="AU46" s="188">
        <f t="shared" si="3"/>
        <v>0</v>
      </c>
      <c r="AV46" s="188">
        <f t="shared" si="4"/>
        <v>0</v>
      </c>
    </row>
    <row r="47" spans="1:48">
      <c r="A47" s="176">
        <v>233</v>
      </c>
      <c r="B47" s="180"/>
      <c r="C47" s="176" t="s">
        <v>826</v>
      </c>
      <c r="D47" s="176" t="s">
        <v>38</v>
      </c>
      <c r="E47" s="176" t="s">
        <v>1009</v>
      </c>
      <c r="F47" s="176" t="s">
        <v>94</v>
      </c>
      <c r="G47" s="176" t="s">
        <v>9</v>
      </c>
      <c r="H47" s="176" t="s">
        <v>31</v>
      </c>
      <c r="I47" s="176" t="s">
        <v>64</v>
      </c>
      <c r="J47" s="176" t="s">
        <v>54</v>
      </c>
      <c r="K47" s="176" t="s">
        <v>270</v>
      </c>
      <c r="L47" s="177"/>
      <c r="M47" s="177"/>
      <c r="N47" s="177"/>
      <c r="O47" s="177"/>
      <c r="P47" s="177"/>
      <c r="Q47" s="182">
        <v>20.399999999999999</v>
      </c>
      <c r="R47" s="182">
        <v>0.8</v>
      </c>
      <c r="S47" s="182">
        <v>4.9000000000000004</v>
      </c>
      <c r="T47" s="182">
        <v>5.9</v>
      </c>
      <c r="U47" s="182">
        <v>-5.6</v>
      </c>
      <c r="V47" s="182">
        <v>47.6</v>
      </c>
      <c r="W47" s="183" t="s">
        <v>95</v>
      </c>
      <c r="X47" s="177"/>
      <c r="Y47" s="177"/>
      <c r="Z47" s="177"/>
      <c r="AA47" s="177"/>
      <c r="AB47" s="177"/>
      <c r="AC47" s="177"/>
      <c r="AD47" s="177"/>
      <c r="AE47" s="177"/>
      <c r="AF47" s="183"/>
      <c r="AG47" s="183"/>
      <c r="AH47" s="183">
        <v>61.9</v>
      </c>
      <c r="AI47" s="184">
        <v>3.7288999999999999</v>
      </c>
      <c r="AJ47" s="176">
        <v>8</v>
      </c>
      <c r="AK47" s="176"/>
      <c r="AL47" s="182">
        <f t="shared" ref="AL47:AL54" si="5">SUM(L47:AH47)</f>
        <v>135.9</v>
      </c>
      <c r="AM47" s="185" t="s">
        <v>31</v>
      </c>
      <c r="AN47" s="183" t="s">
        <v>999</v>
      </c>
      <c r="AO47" s="183" t="s">
        <v>545</v>
      </c>
      <c r="AP47" s="186">
        <f t="shared" si="0"/>
        <v>5.1583333333333332</v>
      </c>
      <c r="AQ47" s="187">
        <v>12</v>
      </c>
      <c r="AR47" s="188" t="str">
        <f t="shared" si="1"/>
        <v>12年累積</v>
      </c>
      <c r="AS47" s="188">
        <f t="shared" si="2"/>
        <v>0</v>
      </c>
      <c r="AT47" s="188">
        <f t="shared" si="2"/>
        <v>0</v>
      </c>
      <c r="AU47" s="188">
        <f t="shared" si="3"/>
        <v>61.9</v>
      </c>
      <c r="AV47" s="188">
        <f t="shared" si="4"/>
        <v>61.9</v>
      </c>
    </row>
    <row r="48" spans="1:48">
      <c r="A48" s="176">
        <v>301</v>
      </c>
      <c r="B48" s="180" t="s">
        <v>1002</v>
      </c>
      <c r="C48" s="176" t="s">
        <v>828</v>
      </c>
      <c r="D48" s="176" t="s">
        <v>96</v>
      </c>
      <c r="E48" s="176" t="s">
        <v>1010</v>
      </c>
      <c r="F48" s="176" t="s">
        <v>97</v>
      </c>
      <c r="G48" s="176" t="s">
        <v>12</v>
      </c>
      <c r="H48" s="176" t="s">
        <v>19</v>
      </c>
      <c r="I48" s="176" t="s">
        <v>743</v>
      </c>
      <c r="J48" s="176" t="s">
        <v>1011</v>
      </c>
      <c r="K48" s="176" t="s">
        <v>264</v>
      </c>
      <c r="L48" s="183" t="s">
        <v>754</v>
      </c>
      <c r="M48" s="183">
        <v>34.1</v>
      </c>
      <c r="N48" s="182">
        <v>-3.4</v>
      </c>
      <c r="O48" s="182">
        <v>6.7</v>
      </c>
      <c r="P48" s="182">
        <v>10.199999999999999</v>
      </c>
      <c r="Q48" s="182">
        <v>8.3000000000000007</v>
      </c>
      <c r="R48" s="182">
        <v>3</v>
      </c>
      <c r="S48" s="182">
        <v>-6.1</v>
      </c>
      <c r="T48" s="182">
        <v>4.0999999999999996</v>
      </c>
      <c r="U48" s="182">
        <v>2.9</v>
      </c>
      <c r="V48" s="182">
        <v>5</v>
      </c>
      <c r="W48" s="182">
        <v>21.5</v>
      </c>
      <c r="X48" s="182">
        <v>1</v>
      </c>
      <c r="Y48" s="182">
        <v>-8.6999999999999993</v>
      </c>
      <c r="Z48" s="176">
        <v>4.5999999999999996</v>
      </c>
      <c r="AA48" s="182">
        <v>5</v>
      </c>
      <c r="AB48" s="182">
        <v>-2.8</v>
      </c>
      <c r="AC48" s="182">
        <v>8.9</v>
      </c>
      <c r="AD48" s="182">
        <v>-2.2000000000000002</v>
      </c>
      <c r="AE48" s="176">
        <v>-3.1</v>
      </c>
      <c r="AF48" s="182">
        <v>4.2</v>
      </c>
      <c r="AG48" s="182">
        <v>5.4</v>
      </c>
      <c r="AH48" s="182">
        <v>-5.3</v>
      </c>
      <c r="AI48" s="184">
        <v>13.409599999999999</v>
      </c>
      <c r="AJ48" s="176">
        <v>8</v>
      </c>
      <c r="AK48" s="176"/>
      <c r="AL48" s="182">
        <f t="shared" si="5"/>
        <v>93.300000000000026</v>
      </c>
      <c r="AM48" s="185" t="s">
        <v>19</v>
      </c>
      <c r="AN48" s="183" t="s">
        <v>999</v>
      </c>
      <c r="AO48" s="183" t="s">
        <v>545</v>
      </c>
      <c r="AP48" s="186">
        <f t="shared" si="0"/>
        <v>-5.3</v>
      </c>
      <c r="AQ48" s="187">
        <v>1</v>
      </c>
      <c r="AR48" s="188">
        <f t="shared" si="1"/>
        <v>21.5</v>
      </c>
      <c r="AS48" s="188">
        <f t="shared" si="2"/>
        <v>-2.2000000000000002</v>
      </c>
      <c r="AT48" s="188">
        <f t="shared" si="2"/>
        <v>-3.1</v>
      </c>
      <c r="AU48" s="188">
        <f t="shared" si="3"/>
        <v>-5.3</v>
      </c>
      <c r="AV48" s="188">
        <f t="shared" si="4"/>
        <v>-1</v>
      </c>
    </row>
    <row r="49" spans="1:48">
      <c r="A49" s="176">
        <v>302</v>
      </c>
      <c r="B49" s="180"/>
      <c r="C49" s="176" t="s">
        <v>830</v>
      </c>
      <c r="D49" s="176" t="s">
        <v>96</v>
      </c>
      <c r="E49" s="176" t="s">
        <v>1012</v>
      </c>
      <c r="F49" s="176" t="s">
        <v>99</v>
      </c>
      <c r="G49" s="176" t="s">
        <v>12</v>
      </c>
      <c r="H49" s="176" t="s">
        <v>73</v>
      </c>
      <c r="I49" s="176" t="s">
        <v>743</v>
      </c>
      <c r="J49" s="176" t="s">
        <v>763</v>
      </c>
      <c r="K49" s="176" t="s">
        <v>264</v>
      </c>
      <c r="L49" s="177"/>
      <c r="M49" s="177"/>
      <c r="N49" s="181"/>
      <c r="O49" s="183" t="s">
        <v>754</v>
      </c>
      <c r="P49" s="183">
        <v>31.8</v>
      </c>
      <c r="Q49" s="182">
        <v>22.8</v>
      </c>
      <c r="R49" s="182">
        <v>13.6</v>
      </c>
      <c r="S49" s="182">
        <v>-11.2</v>
      </c>
      <c r="T49" s="182">
        <v>18</v>
      </c>
      <c r="U49" s="182">
        <v>17.600000000000001</v>
      </c>
      <c r="V49" s="182">
        <v>65.2</v>
      </c>
      <c r="W49" s="182">
        <v>35.200000000000003</v>
      </c>
      <c r="X49" s="182">
        <v>-0.8</v>
      </c>
      <c r="Y49" s="182">
        <v>-5.2</v>
      </c>
      <c r="Z49" s="177" t="s">
        <v>744</v>
      </c>
      <c r="AA49" s="177"/>
      <c r="AB49" s="183">
        <v>13</v>
      </c>
      <c r="AC49" s="182">
        <v>22.6</v>
      </c>
      <c r="AD49" s="182">
        <v>-2.8</v>
      </c>
      <c r="AE49" s="176">
        <v>-0.7</v>
      </c>
      <c r="AF49" s="182">
        <v>6.3</v>
      </c>
      <c r="AG49" s="182">
        <v>7</v>
      </c>
      <c r="AH49" s="182">
        <v>-2.2000000000000002</v>
      </c>
      <c r="AI49" s="184">
        <v>8.9908999999999999</v>
      </c>
      <c r="AJ49" s="176">
        <v>8</v>
      </c>
      <c r="AK49" s="176" t="s">
        <v>745</v>
      </c>
      <c r="AL49" s="182">
        <f t="shared" si="5"/>
        <v>230.20000000000002</v>
      </c>
      <c r="AM49" s="185" t="s">
        <v>73</v>
      </c>
      <c r="AN49" s="183" t="s">
        <v>999</v>
      </c>
      <c r="AO49" s="183" t="s">
        <v>545</v>
      </c>
      <c r="AP49" s="186">
        <f t="shared" si="0"/>
        <v>-2.2000000000000002</v>
      </c>
      <c r="AQ49" s="187">
        <v>1</v>
      </c>
      <c r="AR49" s="188">
        <f t="shared" si="1"/>
        <v>35.200000000000003</v>
      </c>
      <c r="AS49" s="188">
        <f t="shared" si="2"/>
        <v>-2.8</v>
      </c>
      <c r="AT49" s="188">
        <f t="shared" si="2"/>
        <v>-0.7</v>
      </c>
      <c r="AU49" s="188">
        <f t="shared" si="3"/>
        <v>-2.2000000000000002</v>
      </c>
      <c r="AV49" s="188">
        <f t="shared" si="4"/>
        <v>7.6000000000000005</v>
      </c>
    </row>
    <row r="50" spans="1:48">
      <c r="A50" s="176">
        <v>303</v>
      </c>
      <c r="B50" s="180" t="s">
        <v>1002</v>
      </c>
      <c r="C50" s="176" t="s">
        <v>832</v>
      </c>
      <c r="D50" s="176" t="s">
        <v>96</v>
      </c>
      <c r="E50" s="176" t="s">
        <v>100</v>
      </c>
      <c r="F50" s="176" t="s">
        <v>101</v>
      </c>
      <c r="G50" s="176" t="s">
        <v>9</v>
      </c>
      <c r="H50" s="176" t="s">
        <v>10</v>
      </c>
      <c r="I50" s="176" t="s">
        <v>743</v>
      </c>
      <c r="J50" s="176" t="s">
        <v>763</v>
      </c>
      <c r="K50" s="176" t="s">
        <v>270</v>
      </c>
      <c r="L50" s="177"/>
      <c r="M50" s="177"/>
      <c r="N50" s="182">
        <v>18</v>
      </c>
      <c r="O50" s="182">
        <v>2.8</v>
      </c>
      <c r="P50" s="182">
        <v>15.8</v>
      </c>
      <c r="Q50" s="182">
        <v>15</v>
      </c>
      <c r="R50" s="182">
        <v>5</v>
      </c>
      <c r="S50" s="182">
        <v>-2.5</v>
      </c>
      <c r="T50" s="182">
        <v>10.3</v>
      </c>
      <c r="U50" s="182">
        <v>3.3</v>
      </c>
      <c r="V50" s="182">
        <v>15.1</v>
      </c>
      <c r="W50" s="182">
        <v>31.9</v>
      </c>
      <c r="X50" s="182">
        <v>2.7</v>
      </c>
      <c r="Y50" s="182">
        <v>-7.8</v>
      </c>
      <c r="Z50" s="176">
        <v>5.9</v>
      </c>
      <c r="AA50" s="182">
        <v>6.3</v>
      </c>
      <c r="AB50" s="182">
        <v>-2.2000000000000002</v>
      </c>
      <c r="AC50" s="182">
        <v>10.5</v>
      </c>
      <c r="AD50" s="182">
        <v>-3</v>
      </c>
      <c r="AE50" s="182">
        <v>-1</v>
      </c>
      <c r="AF50" s="182">
        <v>6.8</v>
      </c>
      <c r="AG50" s="182">
        <v>5.0999999999999996</v>
      </c>
      <c r="AH50" s="182">
        <v>-4.8</v>
      </c>
      <c r="AI50" s="184">
        <v>9.6891999999999996</v>
      </c>
      <c r="AJ50" s="176">
        <v>8</v>
      </c>
      <c r="AK50" s="176"/>
      <c r="AL50" s="182">
        <f t="shared" si="5"/>
        <v>133.19999999999999</v>
      </c>
      <c r="AM50" s="185" t="s">
        <v>10</v>
      </c>
      <c r="AN50" s="183" t="s">
        <v>999</v>
      </c>
      <c r="AO50" s="183" t="s">
        <v>545</v>
      </c>
      <c r="AP50" s="186">
        <f t="shared" si="0"/>
        <v>-4.8</v>
      </c>
      <c r="AQ50" s="187">
        <v>1</v>
      </c>
      <c r="AR50" s="188">
        <f t="shared" si="1"/>
        <v>31.9</v>
      </c>
      <c r="AS50" s="188">
        <f t="shared" si="2"/>
        <v>-3</v>
      </c>
      <c r="AT50" s="188">
        <f t="shared" si="2"/>
        <v>-1</v>
      </c>
      <c r="AU50" s="188">
        <f t="shared" si="3"/>
        <v>-4.8</v>
      </c>
      <c r="AV50" s="188">
        <f t="shared" si="4"/>
        <v>3.0999999999999996</v>
      </c>
    </row>
    <row r="51" spans="1:48">
      <c r="A51" s="176">
        <v>304</v>
      </c>
      <c r="B51" s="180" t="s">
        <v>1002</v>
      </c>
      <c r="C51" s="176" t="s">
        <v>833</v>
      </c>
      <c r="D51" s="176" t="s">
        <v>96</v>
      </c>
      <c r="E51" s="176" t="s">
        <v>1013</v>
      </c>
      <c r="F51" s="176" t="s">
        <v>102</v>
      </c>
      <c r="G51" s="176" t="s">
        <v>9</v>
      </c>
      <c r="H51" s="176" t="s">
        <v>19</v>
      </c>
      <c r="I51" s="176" t="s">
        <v>743</v>
      </c>
      <c r="J51" s="176" t="s">
        <v>763</v>
      </c>
      <c r="K51" s="176" t="s">
        <v>264</v>
      </c>
      <c r="L51" s="182">
        <v>20.3</v>
      </c>
      <c r="M51" s="182">
        <v>2.4</v>
      </c>
      <c r="N51" s="182">
        <v>-1.2</v>
      </c>
      <c r="O51" s="182">
        <v>8.1</v>
      </c>
      <c r="P51" s="182">
        <v>11.7</v>
      </c>
      <c r="Q51" s="182">
        <v>8.9</v>
      </c>
      <c r="R51" s="182">
        <v>1.9</v>
      </c>
      <c r="S51" s="182">
        <v>-7.1</v>
      </c>
      <c r="T51" s="182">
        <v>4.4000000000000004</v>
      </c>
      <c r="U51" s="182">
        <v>3.6</v>
      </c>
      <c r="V51" s="182">
        <v>19</v>
      </c>
      <c r="W51" s="182">
        <v>17.7</v>
      </c>
      <c r="X51" s="182">
        <v>-3.2</v>
      </c>
      <c r="Y51" s="182">
        <v>-8.1999999999999993</v>
      </c>
      <c r="Z51" s="176">
        <v>4.4000000000000004</v>
      </c>
      <c r="AA51" s="182">
        <v>8.6</v>
      </c>
      <c r="AB51" s="182">
        <v>-3.3</v>
      </c>
      <c r="AC51" s="182">
        <v>8.1999999999999993</v>
      </c>
      <c r="AD51" s="182">
        <v>-1.2</v>
      </c>
      <c r="AE51" s="176">
        <v>-3.7</v>
      </c>
      <c r="AF51" s="182">
        <v>4.9000000000000004</v>
      </c>
      <c r="AG51" s="182">
        <v>4.2</v>
      </c>
      <c r="AH51" s="182">
        <v>-3.6</v>
      </c>
      <c r="AI51" s="184">
        <v>9.4547000000000008</v>
      </c>
      <c r="AJ51" s="176">
        <v>8</v>
      </c>
      <c r="AK51" s="176"/>
      <c r="AL51" s="182">
        <f t="shared" si="5"/>
        <v>96.800000000000011</v>
      </c>
      <c r="AM51" s="185" t="s">
        <v>19</v>
      </c>
      <c r="AN51" s="183" t="s">
        <v>999</v>
      </c>
      <c r="AO51" s="183" t="s">
        <v>545</v>
      </c>
      <c r="AP51" s="186">
        <f t="shared" si="0"/>
        <v>-3.6</v>
      </c>
      <c r="AQ51" s="187">
        <v>1</v>
      </c>
      <c r="AR51" s="188">
        <f t="shared" si="1"/>
        <v>17.7</v>
      </c>
      <c r="AS51" s="188">
        <f t="shared" si="2"/>
        <v>-1.2</v>
      </c>
      <c r="AT51" s="188">
        <f t="shared" si="2"/>
        <v>-3.7</v>
      </c>
      <c r="AU51" s="188">
        <f t="shared" si="3"/>
        <v>-3.6</v>
      </c>
      <c r="AV51" s="188">
        <f t="shared" si="4"/>
        <v>0.60000000000000009</v>
      </c>
    </row>
    <row r="52" spans="1:48">
      <c r="A52" s="176">
        <v>305</v>
      </c>
      <c r="B52" s="180" t="s">
        <v>1002</v>
      </c>
      <c r="C52" s="176" t="s">
        <v>835</v>
      </c>
      <c r="D52" s="176" t="s">
        <v>96</v>
      </c>
      <c r="E52" s="176" t="s">
        <v>103</v>
      </c>
      <c r="F52" s="176" t="s">
        <v>104</v>
      </c>
      <c r="G52" s="176" t="s">
        <v>9</v>
      </c>
      <c r="H52" s="176" t="s">
        <v>10</v>
      </c>
      <c r="I52" s="176" t="s">
        <v>743</v>
      </c>
      <c r="J52" s="176" t="s">
        <v>54</v>
      </c>
      <c r="K52" s="176" t="s">
        <v>264</v>
      </c>
      <c r="L52" s="177"/>
      <c r="M52" s="177"/>
      <c r="N52" s="182">
        <v>14.5</v>
      </c>
      <c r="O52" s="182">
        <v>8.1</v>
      </c>
      <c r="P52" s="182">
        <v>20.2</v>
      </c>
      <c r="Q52" s="182">
        <v>17.3</v>
      </c>
      <c r="R52" s="182">
        <v>8.3000000000000007</v>
      </c>
      <c r="S52" s="182">
        <v>2.2999999999999998</v>
      </c>
      <c r="T52" s="182">
        <v>11.8</v>
      </c>
      <c r="U52" s="182">
        <v>3.5</v>
      </c>
      <c r="V52" s="182">
        <v>32.9</v>
      </c>
      <c r="W52" s="182">
        <v>67</v>
      </c>
      <c r="X52" s="182">
        <v>6.9</v>
      </c>
      <c r="Y52" s="182">
        <v>-3.8</v>
      </c>
      <c r="Z52" s="176">
        <v>2.6</v>
      </c>
      <c r="AA52" s="182">
        <v>10.6</v>
      </c>
      <c r="AB52" s="182">
        <v>-2.1</v>
      </c>
      <c r="AC52" s="182">
        <v>13.6</v>
      </c>
      <c r="AD52" s="182">
        <v>-1.9</v>
      </c>
      <c r="AE52" s="176">
        <v>-0.5</v>
      </c>
      <c r="AF52" s="182">
        <v>6.4</v>
      </c>
      <c r="AG52" s="182">
        <v>5.7</v>
      </c>
      <c r="AH52" s="182">
        <v>-0.6</v>
      </c>
      <c r="AI52" s="184">
        <v>7.7514000000000003</v>
      </c>
      <c r="AJ52" s="176">
        <v>7</v>
      </c>
      <c r="AK52" s="176"/>
      <c r="AL52" s="182">
        <f t="shared" si="5"/>
        <v>222.79999999999995</v>
      </c>
      <c r="AM52" s="185" t="s">
        <v>10</v>
      </c>
      <c r="AN52" s="183" t="s">
        <v>999</v>
      </c>
      <c r="AO52" s="183" t="s">
        <v>545</v>
      </c>
      <c r="AP52" s="186">
        <f t="shared" si="0"/>
        <v>-0.6</v>
      </c>
      <c r="AQ52" s="187">
        <v>1</v>
      </c>
      <c r="AR52" s="188">
        <f t="shared" si="1"/>
        <v>67</v>
      </c>
      <c r="AS52" s="188">
        <f t="shared" si="2"/>
        <v>-1.9</v>
      </c>
      <c r="AT52" s="188">
        <f t="shared" si="2"/>
        <v>-0.5</v>
      </c>
      <c r="AU52" s="188">
        <f t="shared" si="3"/>
        <v>-0.6</v>
      </c>
      <c r="AV52" s="188">
        <f t="shared" si="4"/>
        <v>9.1</v>
      </c>
    </row>
    <row r="53" spans="1:48">
      <c r="A53" s="176">
        <v>306</v>
      </c>
      <c r="B53" s="180" t="s">
        <v>1002</v>
      </c>
      <c r="C53" s="176" t="s">
        <v>836</v>
      </c>
      <c r="D53" s="176" t="s">
        <v>96</v>
      </c>
      <c r="E53" s="176" t="s">
        <v>1014</v>
      </c>
      <c r="F53" s="176" t="s">
        <v>105</v>
      </c>
      <c r="G53" s="176" t="s">
        <v>9</v>
      </c>
      <c r="H53" s="176" t="s">
        <v>19</v>
      </c>
      <c r="I53" s="176" t="s">
        <v>743</v>
      </c>
      <c r="J53" s="176" t="s">
        <v>54</v>
      </c>
      <c r="K53" s="176" t="s">
        <v>264</v>
      </c>
      <c r="L53" s="182">
        <v>32.700000000000003</v>
      </c>
      <c r="M53" s="182">
        <v>35.1</v>
      </c>
      <c r="N53" s="182">
        <v>39.799999999999997</v>
      </c>
      <c r="O53" s="182">
        <v>-9.3000000000000007</v>
      </c>
      <c r="P53" s="182">
        <v>13.9</v>
      </c>
      <c r="Q53" s="182">
        <v>53.5</v>
      </c>
      <c r="R53" s="182">
        <v>20.100000000000001</v>
      </c>
      <c r="S53" s="182">
        <v>2</v>
      </c>
      <c r="T53" s="182">
        <v>31.2</v>
      </c>
      <c r="U53" s="182">
        <v>28.1</v>
      </c>
      <c r="V53" s="182">
        <v>83.9</v>
      </c>
      <c r="W53" s="182">
        <v>46.3</v>
      </c>
      <c r="X53" s="182">
        <v>9.4</v>
      </c>
      <c r="Y53" s="182">
        <v>-10.8</v>
      </c>
      <c r="Z53" s="176">
        <v>1.3</v>
      </c>
      <c r="AA53" s="182">
        <v>10.5</v>
      </c>
      <c r="AB53" s="182">
        <v>-2.8</v>
      </c>
      <c r="AC53" s="182">
        <v>9.6999999999999993</v>
      </c>
      <c r="AD53" s="182">
        <v>0</v>
      </c>
      <c r="AE53" s="176">
        <v>-2.6</v>
      </c>
      <c r="AF53" s="182">
        <v>6</v>
      </c>
      <c r="AG53" s="182">
        <v>6.6</v>
      </c>
      <c r="AH53" s="182">
        <v>-2.6</v>
      </c>
      <c r="AI53" s="184">
        <v>7.1196000000000002</v>
      </c>
      <c r="AJ53" s="176">
        <v>8</v>
      </c>
      <c r="AK53" s="176"/>
      <c r="AL53" s="182">
        <f t="shared" si="5"/>
        <v>401.99999999999994</v>
      </c>
      <c r="AM53" s="185" t="s">
        <v>19</v>
      </c>
      <c r="AN53" s="183" t="s">
        <v>999</v>
      </c>
      <c r="AO53" s="183" t="s">
        <v>545</v>
      </c>
      <c r="AP53" s="186">
        <f t="shared" si="0"/>
        <v>-2.6</v>
      </c>
      <c r="AQ53" s="187">
        <v>1</v>
      </c>
      <c r="AR53" s="188">
        <f t="shared" si="1"/>
        <v>46.3</v>
      </c>
      <c r="AS53" s="188">
        <f t="shared" si="2"/>
        <v>0</v>
      </c>
      <c r="AT53" s="188">
        <f t="shared" si="2"/>
        <v>-2.6</v>
      </c>
      <c r="AU53" s="188">
        <f t="shared" si="3"/>
        <v>-2.6</v>
      </c>
      <c r="AV53" s="188">
        <f t="shared" si="4"/>
        <v>7.4</v>
      </c>
    </row>
    <row r="54" spans="1:48">
      <c r="A54" s="176">
        <v>307</v>
      </c>
      <c r="B54" s="180" t="s">
        <v>1002</v>
      </c>
      <c r="C54" s="176" t="s">
        <v>838</v>
      </c>
      <c r="D54" s="176" t="s">
        <v>96</v>
      </c>
      <c r="E54" s="176" t="s">
        <v>1015</v>
      </c>
      <c r="F54" s="176" t="s">
        <v>106</v>
      </c>
      <c r="G54" s="176" t="s">
        <v>9</v>
      </c>
      <c r="H54" s="176" t="s">
        <v>19</v>
      </c>
      <c r="I54" s="176" t="s">
        <v>743</v>
      </c>
      <c r="J54" s="176" t="s">
        <v>54</v>
      </c>
      <c r="K54" s="176" t="s">
        <v>264</v>
      </c>
      <c r="L54" s="182">
        <v>48.3</v>
      </c>
      <c r="M54" s="182">
        <v>47.1</v>
      </c>
      <c r="N54" s="182">
        <v>36.6</v>
      </c>
      <c r="O54" s="182">
        <v>0.7</v>
      </c>
      <c r="P54" s="182">
        <v>21.6</v>
      </c>
      <c r="Q54" s="182">
        <v>29.2</v>
      </c>
      <c r="R54" s="182">
        <v>16</v>
      </c>
      <c r="S54" s="182">
        <v>3.1</v>
      </c>
      <c r="T54" s="182">
        <v>14.9</v>
      </c>
      <c r="U54" s="182">
        <v>7.6</v>
      </c>
      <c r="V54" s="182">
        <v>26.3</v>
      </c>
      <c r="W54" s="182">
        <v>44.5</v>
      </c>
      <c r="X54" s="182">
        <v>8.6999999999999993</v>
      </c>
      <c r="Y54" s="182">
        <v>-2</v>
      </c>
      <c r="Z54" s="176">
        <v>-0.2</v>
      </c>
      <c r="AA54" s="182">
        <v>12</v>
      </c>
      <c r="AB54" s="182">
        <v>-2.4</v>
      </c>
      <c r="AC54" s="182">
        <v>12.6</v>
      </c>
      <c r="AD54" s="182">
        <v>0.8</v>
      </c>
      <c r="AE54" s="176">
        <v>0.5</v>
      </c>
      <c r="AF54" s="182">
        <v>7.3</v>
      </c>
      <c r="AG54" s="182">
        <v>7.6</v>
      </c>
      <c r="AH54" s="182">
        <v>-1.4</v>
      </c>
      <c r="AI54" s="184">
        <v>6.1452</v>
      </c>
      <c r="AJ54" s="176">
        <v>8</v>
      </c>
      <c r="AK54" s="176"/>
      <c r="AL54" s="182">
        <f t="shared" si="5"/>
        <v>339.40000000000009</v>
      </c>
      <c r="AM54" s="185" t="s">
        <v>19</v>
      </c>
      <c r="AN54" s="183" t="s">
        <v>999</v>
      </c>
      <c r="AO54" s="183" t="s">
        <v>545</v>
      </c>
      <c r="AP54" s="186">
        <f t="shared" si="0"/>
        <v>-1.4</v>
      </c>
      <c r="AQ54" s="187">
        <v>1</v>
      </c>
      <c r="AR54" s="188">
        <f t="shared" si="1"/>
        <v>44.5</v>
      </c>
      <c r="AS54" s="188">
        <f t="shared" si="2"/>
        <v>0.8</v>
      </c>
      <c r="AT54" s="188">
        <f t="shared" si="2"/>
        <v>0.5</v>
      </c>
      <c r="AU54" s="188">
        <f t="shared" si="3"/>
        <v>-1.4</v>
      </c>
      <c r="AV54" s="188">
        <f t="shared" si="4"/>
        <v>14.799999999999999</v>
      </c>
    </row>
    <row r="55" spans="1:48">
      <c r="A55" s="176">
        <v>308</v>
      </c>
      <c r="B55" s="180" t="s">
        <v>1002</v>
      </c>
      <c r="C55" s="176" t="s">
        <v>840</v>
      </c>
      <c r="D55" s="176" t="s">
        <v>96</v>
      </c>
      <c r="E55" s="176" t="s">
        <v>107</v>
      </c>
      <c r="F55" s="176" t="s">
        <v>108</v>
      </c>
      <c r="G55" s="176" t="s">
        <v>9</v>
      </c>
      <c r="H55" s="176" t="s">
        <v>10</v>
      </c>
      <c r="I55" s="176" t="s">
        <v>743</v>
      </c>
      <c r="J55" s="176" t="s">
        <v>763</v>
      </c>
      <c r="K55" s="176" t="s">
        <v>264</v>
      </c>
      <c r="L55" s="177"/>
      <c r="M55" s="177"/>
      <c r="N55" s="182">
        <v>19.399999999999999</v>
      </c>
      <c r="O55" s="182">
        <v>19</v>
      </c>
      <c r="P55" s="182">
        <v>29.6</v>
      </c>
      <c r="Q55" s="182">
        <v>29.7</v>
      </c>
      <c r="R55" s="182">
        <v>14.8</v>
      </c>
      <c r="S55" s="182">
        <v>1.3</v>
      </c>
      <c r="T55" s="182">
        <v>14.6</v>
      </c>
      <c r="U55" s="182">
        <v>5.0999999999999996</v>
      </c>
      <c r="V55" s="182">
        <v>35.6</v>
      </c>
      <c r="W55" s="182" t="s">
        <v>770</v>
      </c>
      <c r="X55" s="182">
        <v>47.6</v>
      </c>
      <c r="Y55" s="182">
        <v>12</v>
      </c>
      <c r="Z55" s="176">
        <v>1.5</v>
      </c>
      <c r="AA55" s="182">
        <v>14.4</v>
      </c>
      <c r="AB55" s="182">
        <v>5.8</v>
      </c>
      <c r="AC55" s="182">
        <v>18.2</v>
      </c>
      <c r="AD55" s="182">
        <v>2.4</v>
      </c>
      <c r="AE55" s="176">
        <v>0.7</v>
      </c>
      <c r="AF55" s="182">
        <v>9.6</v>
      </c>
      <c r="AG55" s="182">
        <v>6.9</v>
      </c>
      <c r="AH55" s="182">
        <v>2.8</v>
      </c>
      <c r="AI55" s="184">
        <v>6.0631000000000004</v>
      </c>
      <c r="AJ55" s="176">
        <v>8</v>
      </c>
      <c r="AK55" s="176" t="s">
        <v>771</v>
      </c>
      <c r="AL55" s="182">
        <f>SUM(X55:AH55)</f>
        <v>121.9</v>
      </c>
      <c r="AM55" s="185" t="s">
        <v>615</v>
      </c>
      <c r="AN55" s="183" t="s">
        <v>999</v>
      </c>
      <c r="AO55" s="183" t="s">
        <v>545</v>
      </c>
      <c r="AP55" s="186">
        <f t="shared" si="0"/>
        <v>2.8</v>
      </c>
      <c r="AQ55" s="187">
        <v>1</v>
      </c>
      <c r="AR55" s="188" t="str">
        <f t="shared" si="1"/>
        <v>A</v>
      </c>
      <c r="AS55" s="188">
        <f t="shared" si="2"/>
        <v>2.4</v>
      </c>
      <c r="AT55" s="188">
        <f t="shared" si="2"/>
        <v>0.7</v>
      </c>
      <c r="AU55" s="188">
        <f t="shared" si="3"/>
        <v>2.8</v>
      </c>
      <c r="AV55" s="188">
        <f t="shared" si="4"/>
        <v>22.400000000000002</v>
      </c>
    </row>
    <row r="56" spans="1:48">
      <c r="A56" s="176">
        <v>309</v>
      </c>
      <c r="B56" s="180" t="s">
        <v>1002</v>
      </c>
      <c r="C56" s="176" t="s">
        <v>841</v>
      </c>
      <c r="D56" s="176" t="s">
        <v>96</v>
      </c>
      <c r="E56" s="176" t="s">
        <v>1016</v>
      </c>
      <c r="F56" s="176" t="s">
        <v>109</v>
      </c>
      <c r="G56" s="176" t="s">
        <v>9</v>
      </c>
      <c r="H56" s="176" t="s">
        <v>19</v>
      </c>
      <c r="I56" s="176" t="s">
        <v>743</v>
      </c>
      <c r="J56" s="176" t="s">
        <v>54</v>
      </c>
      <c r="K56" s="176" t="s">
        <v>264</v>
      </c>
      <c r="L56" s="182">
        <v>37.1</v>
      </c>
      <c r="M56" s="182">
        <v>27.3</v>
      </c>
      <c r="N56" s="182">
        <v>18.399999999999999</v>
      </c>
      <c r="O56" s="182" t="s">
        <v>754</v>
      </c>
      <c r="P56" s="182">
        <v>25.2</v>
      </c>
      <c r="Q56" s="182" t="s">
        <v>770</v>
      </c>
      <c r="R56" s="182">
        <v>14.7</v>
      </c>
      <c r="S56" s="182">
        <v>-4.5999999999999996</v>
      </c>
      <c r="T56" s="182">
        <v>11.9</v>
      </c>
      <c r="U56" s="182">
        <v>5.5</v>
      </c>
      <c r="V56" s="182">
        <v>34.299999999999997</v>
      </c>
      <c r="W56" s="182">
        <v>49</v>
      </c>
      <c r="X56" s="182">
        <v>2.4</v>
      </c>
      <c r="Y56" s="182">
        <v>-5.2</v>
      </c>
      <c r="Z56" s="176">
        <v>-6.2</v>
      </c>
      <c r="AA56" s="182">
        <v>7.4</v>
      </c>
      <c r="AB56" s="182">
        <v>-5.0999999999999996</v>
      </c>
      <c r="AC56" s="182">
        <v>9.5</v>
      </c>
      <c r="AD56" s="182">
        <v>-2</v>
      </c>
      <c r="AE56" s="176">
        <v>-2.4</v>
      </c>
      <c r="AF56" s="182">
        <v>8</v>
      </c>
      <c r="AG56" s="182">
        <v>5.0999999999999996</v>
      </c>
      <c r="AH56" s="182">
        <v>-2.7</v>
      </c>
      <c r="AI56" s="184">
        <v>4.9630999999999998</v>
      </c>
      <c r="AJ56" s="176">
        <v>8</v>
      </c>
      <c r="AK56" s="176" t="s">
        <v>843</v>
      </c>
      <c r="AL56" s="182">
        <f>SUM(L56:AH56)</f>
        <v>227.60000000000005</v>
      </c>
      <c r="AM56" s="185" t="s">
        <v>19</v>
      </c>
      <c r="AN56" s="183" t="s">
        <v>999</v>
      </c>
      <c r="AO56" s="183" t="s">
        <v>545</v>
      </c>
      <c r="AP56" s="186">
        <f t="shared" si="0"/>
        <v>-2.7</v>
      </c>
      <c r="AQ56" s="187">
        <v>1</v>
      </c>
      <c r="AR56" s="188">
        <f t="shared" si="1"/>
        <v>49</v>
      </c>
      <c r="AS56" s="188">
        <f t="shared" si="2"/>
        <v>-2</v>
      </c>
      <c r="AT56" s="188">
        <f t="shared" si="2"/>
        <v>-2.4</v>
      </c>
      <c r="AU56" s="188">
        <f t="shared" si="3"/>
        <v>-2.7</v>
      </c>
      <c r="AV56" s="188">
        <f t="shared" si="4"/>
        <v>5.9999999999999991</v>
      </c>
    </row>
    <row r="57" spans="1:48">
      <c r="A57" s="176">
        <v>310</v>
      </c>
      <c r="B57" s="180" t="s">
        <v>1002</v>
      </c>
      <c r="C57" s="176" t="s">
        <v>844</v>
      </c>
      <c r="D57" s="176" t="s">
        <v>96</v>
      </c>
      <c r="E57" s="176" t="s">
        <v>110</v>
      </c>
      <c r="F57" s="176" t="s">
        <v>111</v>
      </c>
      <c r="G57" s="176" t="s">
        <v>9</v>
      </c>
      <c r="H57" s="176" t="s">
        <v>10</v>
      </c>
      <c r="I57" s="176" t="s">
        <v>743</v>
      </c>
      <c r="J57" s="176" t="s">
        <v>763</v>
      </c>
      <c r="K57" s="176" t="s">
        <v>270</v>
      </c>
      <c r="L57" s="177"/>
      <c r="M57" s="177"/>
      <c r="N57" s="182">
        <v>16.600000000000001</v>
      </c>
      <c r="O57" s="183" t="s">
        <v>754</v>
      </c>
      <c r="P57" s="183">
        <v>45.8</v>
      </c>
      <c r="Q57" s="182">
        <v>16</v>
      </c>
      <c r="R57" s="182">
        <v>9</v>
      </c>
      <c r="S57" s="182">
        <v>3.8</v>
      </c>
      <c r="T57" s="182">
        <v>9</v>
      </c>
      <c r="U57" s="182" t="s">
        <v>47</v>
      </c>
      <c r="V57" s="182">
        <v>13.8</v>
      </c>
      <c r="W57" s="182">
        <v>27.3</v>
      </c>
      <c r="X57" s="182">
        <v>4.3</v>
      </c>
      <c r="Y57" s="182">
        <v>-8.1999999999999993</v>
      </c>
      <c r="Z57" s="176">
        <v>11.6</v>
      </c>
      <c r="AA57" s="182">
        <v>7.4</v>
      </c>
      <c r="AB57" s="182">
        <v>0.4</v>
      </c>
      <c r="AC57" s="182">
        <v>10.7</v>
      </c>
      <c r="AD57" s="182">
        <v>-0.5</v>
      </c>
      <c r="AE57" s="176">
        <v>0.3</v>
      </c>
      <c r="AF57" s="182">
        <v>7.2</v>
      </c>
      <c r="AG57" s="182">
        <v>7</v>
      </c>
      <c r="AH57" s="182">
        <v>-2.5</v>
      </c>
      <c r="AI57" s="184">
        <v>10.933999999999999</v>
      </c>
      <c r="AJ57" s="176">
        <v>8</v>
      </c>
      <c r="AK57" s="176" t="s">
        <v>845</v>
      </c>
      <c r="AL57" s="182">
        <f>SUM(V57:AH57)</f>
        <v>78.8</v>
      </c>
      <c r="AM57" s="185" t="s">
        <v>613</v>
      </c>
      <c r="AN57" s="183" t="s">
        <v>999</v>
      </c>
      <c r="AO57" s="183" t="s">
        <v>545</v>
      </c>
      <c r="AP57" s="186">
        <f t="shared" si="0"/>
        <v>-2.5</v>
      </c>
      <c r="AQ57" s="187">
        <v>1</v>
      </c>
      <c r="AR57" s="188">
        <f t="shared" si="1"/>
        <v>27.3</v>
      </c>
      <c r="AS57" s="188">
        <f t="shared" si="2"/>
        <v>-0.5</v>
      </c>
      <c r="AT57" s="188">
        <f t="shared" si="2"/>
        <v>0.3</v>
      </c>
      <c r="AU57" s="188">
        <f t="shared" si="3"/>
        <v>-2.5</v>
      </c>
      <c r="AV57" s="188">
        <f t="shared" si="4"/>
        <v>11.5</v>
      </c>
    </row>
    <row r="58" spans="1:48">
      <c r="A58" s="176">
        <v>311</v>
      </c>
      <c r="B58" s="180" t="s">
        <v>1002</v>
      </c>
      <c r="C58" s="176" t="s">
        <v>846</v>
      </c>
      <c r="D58" s="176" t="s">
        <v>96</v>
      </c>
      <c r="E58" s="176" t="s">
        <v>112</v>
      </c>
      <c r="F58" s="176" t="s">
        <v>113</v>
      </c>
      <c r="G58" s="176" t="s">
        <v>9</v>
      </c>
      <c r="H58" s="176" t="s">
        <v>10</v>
      </c>
      <c r="I58" s="176" t="s">
        <v>743</v>
      </c>
      <c r="J58" s="176" t="s">
        <v>763</v>
      </c>
      <c r="K58" s="176" t="s">
        <v>270</v>
      </c>
      <c r="L58" s="177"/>
      <c r="M58" s="177"/>
      <c r="N58" s="182">
        <v>12.4</v>
      </c>
      <c r="O58" s="182">
        <v>-0.4</v>
      </c>
      <c r="P58" s="182">
        <v>14.1</v>
      </c>
      <c r="Q58" s="182">
        <v>13.3</v>
      </c>
      <c r="R58" s="182">
        <v>2.2999999999999998</v>
      </c>
      <c r="S58" s="182">
        <v>-2.2000000000000002</v>
      </c>
      <c r="T58" s="182">
        <v>10.199999999999999</v>
      </c>
      <c r="U58" s="182">
        <v>3.5</v>
      </c>
      <c r="V58" s="182">
        <v>12.7</v>
      </c>
      <c r="W58" s="182">
        <v>31.2</v>
      </c>
      <c r="X58" s="182">
        <v>5.2</v>
      </c>
      <c r="Y58" s="182">
        <v>-7.7</v>
      </c>
      <c r="Z58" s="176">
        <v>6.6</v>
      </c>
      <c r="AA58" s="182">
        <v>5.7</v>
      </c>
      <c r="AB58" s="182">
        <v>-1.8</v>
      </c>
      <c r="AC58" s="182">
        <v>8.8000000000000007</v>
      </c>
      <c r="AD58" s="182">
        <v>-2.2000000000000002</v>
      </c>
      <c r="AE58" s="176">
        <v>-2.4</v>
      </c>
      <c r="AF58" s="182">
        <v>6.7</v>
      </c>
      <c r="AG58" s="182">
        <v>5.7</v>
      </c>
      <c r="AH58" s="182">
        <v>-1.6</v>
      </c>
      <c r="AI58" s="184">
        <v>10.3103</v>
      </c>
      <c r="AJ58" s="176">
        <v>8</v>
      </c>
      <c r="AK58" s="176"/>
      <c r="AL58" s="182">
        <f>SUM(L58:AH58)</f>
        <v>120.10000000000001</v>
      </c>
      <c r="AM58" s="185" t="s">
        <v>10</v>
      </c>
      <c r="AN58" s="183" t="s">
        <v>999</v>
      </c>
      <c r="AO58" s="183" t="s">
        <v>545</v>
      </c>
      <c r="AP58" s="186">
        <f t="shared" si="0"/>
        <v>-1.6</v>
      </c>
      <c r="AQ58" s="187">
        <v>1</v>
      </c>
      <c r="AR58" s="188">
        <f t="shared" si="1"/>
        <v>31.2</v>
      </c>
      <c r="AS58" s="188">
        <f t="shared" si="2"/>
        <v>-2.2000000000000002</v>
      </c>
      <c r="AT58" s="188">
        <f t="shared" si="2"/>
        <v>-2.4</v>
      </c>
      <c r="AU58" s="188">
        <f t="shared" si="3"/>
        <v>-1.6</v>
      </c>
      <c r="AV58" s="188">
        <f t="shared" si="4"/>
        <v>6.2000000000000011</v>
      </c>
    </row>
    <row r="59" spans="1:48">
      <c r="A59" s="176">
        <v>312</v>
      </c>
      <c r="B59" s="180" t="s">
        <v>1002</v>
      </c>
      <c r="C59" s="176" t="s">
        <v>847</v>
      </c>
      <c r="D59" s="176" t="s">
        <v>96</v>
      </c>
      <c r="E59" s="176" t="s">
        <v>1017</v>
      </c>
      <c r="F59" s="176" t="s">
        <v>114</v>
      </c>
      <c r="G59" s="176" t="s">
        <v>9</v>
      </c>
      <c r="H59" s="176" t="s">
        <v>10</v>
      </c>
      <c r="I59" s="176" t="s">
        <v>743</v>
      </c>
      <c r="J59" s="176" t="s">
        <v>98</v>
      </c>
      <c r="K59" s="176" t="s">
        <v>270</v>
      </c>
      <c r="L59" s="177"/>
      <c r="M59" s="177"/>
      <c r="N59" s="182">
        <v>6.3</v>
      </c>
      <c r="O59" s="183" t="s">
        <v>754</v>
      </c>
      <c r="P59" s="183">
        <v>19.399999999999999</v>
      </c>
      <c r="Q59" s="182">
        <v>9.1</v>
      </c>
      <c r="R59" s="182">
        <v>3.5</v>
      </c>
      <c r="S59" s="182">
        <v>1.7</v>
      </c>
      <c r="T59" s="182">
        <v>6</v>
      </c>
      <c r="U59" s="182">
        <v>4.4000000000000004</v>
      </c>
      <c r="V59" s="182">
        <v>5</v>
      </c>
      <c r="W59" s="182">
        <v>11.3</v>
      </c>
      <c r="X59" s="182">
        <v>-0.5</v>
      </c>
      <c r="Y59" s="182">
        <v>-10.5</v>
      </c>
      <c r="Z59" s="176">
        <v>11.6</v>
      </c>
      <c r="AA59" s="182">
        <v>5.7</v>
      </c>
      <c r="AB59" s="182">
        <v>-0.4</v>
      </c>
      <c r="AC59" s="182">
        <v>10.199999999999999</v>
      </c>
      <c r="AD59" s="182">
        <v>-0.4</v>
      </c>
      <c r="AE59" s="176">
        <v>0.2</v>
      </c>
      <c r="AF59" s="182">
        <v>6.6</v>
      </c>
      <c r="AG59" s="182">
        <v>6.5</v>
      </c>
      <c r="AH59" s="182">
        <v>-5.2</v>
      </c>
      <c r="AI59" s="184">
        <v>11.9787</v>
      </c>
      <c r="AJ59" s="176">
        <v>8</v>
      </c>
      <c r="AK59" s="176"/>
      <c r="AL59" s="182">
        <f>SUM(L59:AH59)</f>
        <v>90.499999999999986</v>
      </c>
      <c r="AM59" s="185" t="s">
        <v>10</v>
      </c>
      <c r="AN59" s="183" t="s">
        <v>999</v>
      </c>
      <c r="AO59" s="183" t="s">
        <v>545</v>
      </c>
      <c r="AP59" s="186">
        <f t="shared" si="0"/>
        <v>-5.2</v>
      </c>
      <c r="AQ59" s="187">
        <v>1</v>
      </c>
      <c r="AR59" s="188">
        <f t="shared" si="1"/>
        <v>11.3</v>
      </c>
      <c r="AS59" s="188">
        <f t="shared" si="2"/>
        <v>-0.4</v>
      </c>
      <c r="AT59" s="188">
        <f t="shared" si="2"/>
        <v>0.2</v>
      </c>
      <c r="AU59" s="188">
        <f t="shared" si="3"/>
        <v>-5.2</v>
      </c>
      <c r="AV59" s="188">
        <f t="shared" si="4"/>
        <v>7.6999999999999984</v>
      </c>
    </row>
    <row r="60" spans="1:48">
      <c r="A60" s="176">
        <v>313</v>
      </c>
      <c r="B60" s="180"/>
      <c r="C60" s="176" t="s">
        <v>849</v>
      </c>
      <c r="D60" s="176" t="s">
        <v>96</v>
      </c>
      <c r="E60" s="176" t="s">
        <v>115</v>
      </c>
      <c r="F60" s="176" t="s">
        <v>116</v>
      </c>
      <c r="G60" s="176" t="s">
        <v>9</v>
      </c>
      <c r="H60" s="176" t="s">
        <v>10</v>
      </c>
      <c r="I60" s="176" t="s">
        <v>743</v>
      </c>
      <c r="J60" s="176" t="s">
        <v>54</v>
      </c>
      <c r="K60" s="176" t="s">
        <v>270</v>
      </c>
      <c r="L60" s="177"/>
      <c r="M60" s="177"/>
      <c r="N60" s="182">
        <v>16.5</v>
      </c>
      <c r="O60" s="182">
        <v>1.4</v>
      </c>
      <c r="P60" s="182">
        <v>53.8</v>
      </c>
      <c r="Q60" s="182">
        <v>75.400000000000006</v>
      </c>
      <c r="R60" s="182">
        <v>18.7</v>
      </c>
      <c r="S60" s="182">
        <v>12.3</v>
      </c>
      <c r="T60" s="182">
        <v>43.5</v>
      </c>
      <c r="U60" s="182">
        <v>51.6</v>
      </c>
      <c r="V60" s="182">
        <v>67.5</v>
      </c>
      <c r="W60" s="182" t="s">
        <v>47</v>
      </c>
      <c r="X60" s="182" t="s">
        <v>770</v>
      </c>
      <c r="Y60" s="183" t="s">
        <v>756</v>
      </c>
      <c r="Z60" s="177"/>
      <c r="AA60" s="177"/>
      <c r="AB60" s="183">
        <v>47.1</v>
      </c>
      <c r="AC60" s="173" t="s">
        <v>744</v>
      </c>
      <c r="AD60" s="177"/>
      <c r="AE60" s="177">
        <v>19.5</v>
      </c>
      <c r="AF60" s="173" t="s">
        <v>744</v>
      </c>
      <c r="AG60" s="183"/>
      <c r="AH60" s="183">
        <v>24.2</v>
      </c>
      <c r="AI60" s="184">
        <v>6.5350999999999999</v>
      </c>
      <c r="AJ60" s="176">
        <v>8</v>
      </c>
      <c r="AK60" s="176" t="s">
        <v>850</v>
      </c>
      <c r="AL60" s="182">
        <f>SUM(AB60:AH60)</f>
        <v>90.8</v>
      </c>
      <c r="AM60" s="185" t="s">
        <v>616</v>
      </c>
      <c r="AN60" s="183" t="s">
        <v>999</v>
      </c>
      <c r="AO60" s="183" t="s">
        <v>545</v>
      </c>
      <c r="AP60" s="186">
        <f t="shared" si="0"/>
        <v>8.0666666666666664</v>
      </c>
      <c r="AQ60" s="187">
        <v>3</v>
      </c>
      <c r="AR60" s="188" t="str">
        <f t="shared" si="1"/>
        <v>欠測</v>
      </c>
      <c r="AS60" s="188">
        <f t="shared" si="2"/>
        <v>0</v>
      </c>
      <c r="AT60" s="188">
        <f t="shared" si="2"/>
        <v>19.5</v>
      </c>
      <c r="AU60" s="188">
        <f t="shared" si="3"/>
        <v>24.2</v>
      </c>
      <c r="AV60" s="188">
        <f t="shared" si="4"/>
        <v>43.7</v>
      </c>
    </row>
    <row r="61" spans="1:48">
      <c r="A61" s="176">
        <v>314</v>
      </c>
      <c r="B61" s="180"/>
      <c r="C61" s="176" t="s">
        <v>851</v>
      </c>
      <c r="D61" s="176" t="s">
        <v>96</v>
      </c>
      <c r="E61" s="176" t="s">
        <v>852</v>
      </c>
      <c r="F61" s="176" t="s">
        <v>853</v>
      </c>
      <c r="G61" s="176" t="s">
        <v>9</v>
      </c>
      <c r="H61" s="176" t="s">
        <v>31</v>
      </c>
      <c r="I61" s="176" t="s">
        <v>743</v>
      </c>
      <c r="J61" s="176" t="s">
        <v>54</v>
      </c>
      <c r="K61" s="176" t="s">
        <v>270</v>
      </c>
      <c r="L61" s="177"/>
      <c r="M61" s="177"/>
      <c r="N61" s="177"/>
      <c r="O61" s="177"/>
      <c r="P61" s="177"/>
      <c r="Q61" s="182">
        <v>15.5</v>
      </c>
      <c r="R61" s="182">
        <v>37.299999999999997</v>
      </c>
      <c r="S61" s="182">
        <v>15.5</v>
      </c>
      <c r="T61" s="182">
        <v>36</v>
      </c>
      <c r="U61" s="182">
        <v>22.6</v>
      </c>
      <c r="V61" s="182">
        <v>45.6</v>
      </c>
      <c r="W61" s="183" t="s">
        <v>775</v>
      </c>
      <c r="X61" s="177"/>
      <c r="Y61" s="177"/>
      <c r="Z61" s="177"/>
      <c r="AA61" s="177"/>
      <c r="AB61" s="183">
        <v>155.5</v>
      </c>
      <c r="AC61" s="173" t="s">
        <v>744</v>
      </c>
      <c r="AD61" s="177"/>
      <c r="AE61" s="177">
        <v>20.5</v>
      </c>
      <c r="AF61" s="173" t="s">
        <v>744</v>
      </c>
      <c r="AG61" s="183"/>
      <c r="AH61" s="183">
        <v>41.5</v>
      </c>
      <c r="AI61" s="184">
        <v>4.5713999999999997</v>
      </c>
      <c r="AJ61" s="176">
        <v>8</v>
      </c>
      <c r="AK61" s="176"/>
      <c r="AL61" s="182">
        <f>SUM(L61:AH61)</f>
        <v>390</v>
      </c>
      <c r="AM61" s="185" t="s">
        <v>31</v>
      </c>
      <c r="AN61" s="183" t="s">
        <v>999</v>
      </c>
      <c r="AO61" s="183" t="s">
        <v>545</v>
      </c>
      <c r="AP61" s="186">
        <f t="shared" si="0"/>
        <v>13.833333333333334</v>
      </c>
      <c r="AQ61" s="187">
        <v>3</v>
      </c>
      <c r="AR61" s="188" t="str">
        <f t="shared" si="1"/>
        <v>６年累積</v>
      </c>
      <c r="AS61" s="188">
        <f t="shared" si="2"/>
        <v>0</v>
      </c>
      <c r="AT61" s="188">
        <f t="shared" si="2"/>
        <v>20.5</v>
      </c>
      <c r="AU61" s="188">
        <f t="shared" si="3"/>
        <v>41.5</v>
      </c>
      <c r="AV61" s="188">
        <f t="shared" si="4"/>
        <v>62</v>
      </c>
    </row>
    <row r="62" spans="1:48">
      <c r="A62" s="176">
        <v>315</v>
      </c>
      <c r="B62" s="180"/>
      <c r="C62" s="176" t="s">
        <v>854</v>
      </c>
      <c r="D62" s="176" t="s">
        <v>96</v>
      </c>
      <c r="E62" s="176" t="s">
        <v>117</v>
      </c>
      <c r="F62" s="176" t="s">
        <v>118</v>
      </c>
      <c r="G62" s="176" t="s">
        <v>9</v>
      </c>
      <c r="H62" s="176" t="s">
        <v>31</v>
      </c>
      <c r="I62" s="176" t="s">
        <v>64</v>
      </c>
      <c r="J62" s="176" t="s">
        <v>763</v>
      </c>
      <c r="K62" s="176" t="s">
        <v>270</v>
      </c>
      <c r="L62" s="177"/>
      <c r="M62" s="177"/>
      <c r="N62" s="177"/>
      <c r="O62" s="177"/>
      <c r="P62" s="177"/>
      <c r="Q62" s="182">
        <v>16.899999999999999</v>
      </c>
      <c r="R62" s="182">
        <v>3.7</v>
      </c>
      <c r="S62" s="182">
        <v>-6.9</v>
      </c>
      <c r="T62" s="182">
        <v>5.3</v>
      </c>
      <c r="U62" s="182">
        <v>-1</v>
      </c>
      <c r="V62" s="182">
        <v>4.7</v>
      </c>
      <c r="W62" s="183" t="s">
        <v>775</v>
      </c>
      <c r="X62" s="177"/>
      <c r="Y62" s="177"/>
      <c r="Z62" s="177"/>
      <c r="AA62" s="177"/>
      <c r="AB62" s="183">
        <v>54.9</v>
      </c>
      <c r="AC62" s="173" t="s">
        <v>744</v>
      </c>
      <c r="AD62" s="177"/>
      <c r="AE62" s="177">
        <v>13.4</v>
      </c>
      <c r="AF62" s="173" t="s">
        <v>744</v>
      </c>
      <c r="AG62" s="183"/>
      <c r="AH62" s="183">
        <v>14.7</v>
      </c>
      <c r="AI62" s="184">
        <v>4.2469999999999999</v>
      </c>
      <c r="AJ62" s="176">
        <v>8</v>
      </c>
      <c r="AK62" s="176" t="s">
        <v>855</v>
      </c>
      <c r="AL62" s="182">
        <f>SUM(L62:AH62)</f>
        <v>105.7</v>
      </c>
      <c r="AM62" s="185" t="s">
        <v>31</v>
      </c>
      <c r="AN62" s="183" t="s">
        <v>999</v>
      </c>
      <c r="AO62" s="183" t="s">
        <v>545</v>
      </c>
      <c r="AP62" s="186">
        <f t="shared" si="0"/>
        <v>4.8999999999999995</v>
      </c>
      <c r="AQ62" s="187">
        <v>3</v>
      </c>
      <c r="AR62" s="188" t="str">
        <f t="shared" si="1"/>
        <v>６年累積</v>
      </c>
      <c r="AS62" s="188">
        <f t="shared" si="2"/>
        <v>0</v>
      </c>
      <c r="AT62" s="188">
        <f t="shared" si="2"/>
        <v>13.4</v>
      </c>
      <c r="AU62" s="188">
        <f t="shared" si="3"/>
        <v>14.7</v>
      </c>
      <c r="AV62" s="188">
        <f t="shared" si="4"/>
        <v>28.1</v>
      </c>
    </row>
    <row r="63" spans="1:48">
      <c r="A63" s="176">
        <v>316</v>
      </c>
      <c r="B63" s="180"/>
      <c r="C63" s="176" t="s">
        <v>856</v>
      </c>
      <c r="D63" s="176" t="s">
        <v>96</v>
      </c>
      <c r="E63" s="176" t="s">
        <v>857</v>
      </c>
      <c r="F63" s="176" t="s">
        <v>858</v>
      </c>
      <c r="G63" s="176" t="s">
        <v>9</v>
      </c>
      <c r="H63" s="176" t="s">
        <v>31</v>
      </c>
      <c r="I63" s="176" t="s">
        <v>64</v>
      </c>
      <c r="J63" s="176" t="s">
        <v>763</v>
      </c>
      <c r="K63" s="176" t="s">
        <v>270</v>
      </c>
      <c r="L63" s="177"/>
      <c r="M63" s="177"/>
      <c r="N63" s="177"/>
      <c r="O63" s="177"/>
      <c r="P63" s="177"/>
      <c r="Q63" s="182">
        <v>43.2</v>
      </c>
      <c r="R63" s="182">
        <v>26.8</v>
      </c>
      <c r="S63" s="182">
        <v>-6.4</v>
      </c>
      <c r="T63" s="182">
        <v>17.399999999999999</v>
      </c>
      <c r="U63" s="182">
        <v>14.1</v>
      </c>
      <c r="V63" s="182" t="s">
        <v>770</v>
      </c>
      <c r="W63" s="177"/>
      <c r="X63" s="177"/>
      <c r="Y63" s="177"/>
      <c r="Z63" s="177" t="s">
        <v>20</v>
      </c>
      <c r="AA63" s="177"/>
      <c r="AB63" s="177"/>
      <c r="AC63" s="177"/>
      <c r="AD63" s="177"/>
      <c r="AE63" s="177"/>
      <c r="AF63" s="183"/>
      <c r="AG63" s="183"/>
      <c r="AH63" s="183"/>
      <c r="AI63" s="184">
        <v>4.1510999999999996</v>
      </c>
      <c r="AJ63" s="176">
        <v>59</v>
      </c>
      <c r="AK63" s="176" t="s">
        <v>859</v>
      </c>
      <c r="AL63" s="182"/>
      <c r="AM63" s="185"/>
      <c r="AN63" s="183"/>
      <c r="AO63" s="183"/>
      <c r="AP63" s="186"/>
      <c r="AQ63" s="187"/>
      <c r="AR63" s="188">
        <f t="shared" si="1"/>
        <v>0</v>
      </c>
      <c r="AS63" s="188">
        <f t="shared" si="2"/>
        <v>0</v>
      </c>
      <c r="AT63" s="188">
        <f t="shared" si="2"/>
        <v>0</v>
      </c>
      <c r="AU63" s="188">
        <f t="shared" si="3"/>
        <v>0</v>
      </c>
      <c r="AV63" s="188">
        <f t="shared" si="4"/>
        <v>0</v>
      </c>
    </row>
    <row r="64" spans="1:48">
      <c r="A64" s="176">
        <v>317</v>
      </c>
      <c r="B64" s="180"/>
      <c r="C64" s="176" t="s">
        <v>860</v>
      </c>
      <c r="D64" s="176" t="s">
        <v>96</v>
      </c>
      <c r="E64" s="176" t="s">
        <v>1018</v>
      </c>
      <c r="F64" s="176" t="s">
        <v>119</v>
      </c>
      <c r="G64" s="176" t="s">
        <v>12</v>
      </c>
      <c r="H64" s="176" t="s">
        <v>10</v>
      </c>
      <c r="I64" s="176" t="s">
        <v>743</v>
      </c>
      <c r="J64" s="176" t="s">
        <v>763</v>
      </c>
      <c r="K64" s="176" t="s">
        <v>270</v>
      </c>
      <c r="L64" s="177"/>
      <c r="M64" s="177"/>
      <c r="N64" s="182">
        <v>11.4</v>
      </c>
      <c r="O64" s="183" t="s">
        <v>754</v>
      </c>
      <c r="P64" s="183">
        <v>5.3</v>
      </c>
      <c r="Q64" s="182">
        <v>12.8</v>
      </c>
      <c r="R64" s="182">
        <v>2.7</v>
      </c>
      <c r="S64" s="182">
        <v>2.4</v>
      </c>
      <c r="T64" s="182">
        <v>10.8</v>
      </c>
      <c r="U64" s="182">
        <v>3.2</v>
      </c>
      <c r="V64" s="182">
        <v>5.5</v>
      </c>
      <c r="W64" s="182">
        <v>14</v>
      </c>
      <c r="X64" s="182">
        <v>0.3</v>
      </c>
      <c r="Y64" s="183" t="s">
        <v>756</v>
      </c>
      <c r="Z64" s="177"/>
      <c r="AA64" s="177"/>
      <c r="AB64" s="183">
        <v>17.600000000000001</v>
      </c>
      <c r="AC64" s="173" t="s">
        <v>744</v>
      </c>
      <c r="AD64" s="177"/>
      <c r="AE64" s="177">
        <v>7.7</v>
      </c>
      <c r="AF64" s="173" t="s">
        <v>744</v>
      </c>
      <c r="AG64" s="183"/>
      <c r="AH64" s="183">
        <v>15.4</v>
      </c>
      <c r="AI64" s="184">
        <v>11.280799999999999</v>
      </c>
      <c r="AJ64" s="176">
        <v>8</v>
      </c>
      <c r="AK64" s="176"/>
      <c r="AL64" s="182">
        <f>SUM(L64:AH64)</f>
        <v>109.10000000000001</v>
      </c>
      <c r="AM64" s="185" t="s">
        <v>10</v>
      </c>
      <c r="AN64" s="183" t="s">
        <v>999</v>
      </c>
      <c r="AO64" s="183" t="s">
        <v>545</v>
      </c>
      <c r="AP64" s="186">
        <f t="shared" si="0"/>
        <v>5.1333333333333337</v>
      </c>
      <c r="AQ64" s="187">
        <v>3</v>
      </c>
      <c r="AR64" s="188">
        <f t="shared" si="1"/>
        <v>14</v>
      </c>
      <c r="AS64" s="188">
        <f t="shared" si="2"/>
        <v>0</v>
      </c>
      <c r="AT64" s="188">
        <f t="shared" si="2"/>
        <v>7.7</v>
      </c>
      <c r="AU64" s="188">
        <f t="shared" si="3"/>
        <v>15.4</v>
      </c>
      <c r="AV64" s="188">
        <f t="shared" si="4"/>
        <v>23.1</v>
      </c>
    </row>
    <row r="65" spans="1:48">
      <c r="A65" s="176">
        <v>318</v>
      </c>
      <c r="B65" s="180"/>
      <c r="C65" s="176" t="s">
        <v>862</v>
      </c>
      <c r="D65" s="176" t="s">
        <v>96</v>
      </c>
      <c r="E65" s="176" t="s">
        <v>863</v>
      </c>
      <c r="F65" s="176" t="s">
        <v>864</v>
      </c>
      <c r="G65" s="176" t="s">
        <v>12</v>
      </c>
      <c r="H65" s="176" t="s">
        <v>10</v>
      </c>
      <c r="I65" s="176" t="s">
        <v>64</v>
      </c>
      <c r="J65" s="176" t="s">
        <v>763</v>
      </c>
      <c r="K65" s="176" t="s">
        <v>270</v>
      </c>
      <c r="L65" s="177"/>
      <c r="M65" s="177"/>
      <c r="N65" s="182">
        <v>17.7</v>
      </c>
      <c r="O65" s="182">
        <v>-6</v>
      </c>
      <c r="P65" s="182">
        <v>20.7</v>
      </c>
      <c r="Q65" s="182">
        <v>15.5</v>
      </c>
      <c r="R65" s="182">
        <v>-0.8</v>
      </c>
      <c r="S65" s="182">
        <v>5.6</v>
      </c>
      <c r="T65" s="182">
        <v>14</v>
      </c>
      <c r="U65" s="182">
        <v>9</v>
      </c>
      <c r="V65" s="182">
        <v>10.7</v>
      </c>
      <c r="W65" s="182">
        <v>19.5</v>
      </c>
      <c r="X65" s="182">
        <v>2</v>
      </c>
      <c r="Y65" s="183" t="s">
        <v>120</v>
      </c>
      <c r="Z65" s="177"/>
      <c r="AA65" s="177"/>
      <c r="AB65" s="177"/>
      <c r="AC65" s="177"/>
      <c r="AD65" s="177"/>
      <c r="AE65" s="177"/>
      <c r="AF65" s="183"/>
      <c r="AG65" s="183"/>
      <c r="AH65" s="183">
        <v>77.2</v>
      </c>
      <c r="AI65" s="184">
        <v>9.9271999999999991</v>
      </c>
      <c r="AJ65" s="176">
        <v>8</v>
      </c>
      <c r="AK65" s="176"/>
      <c r="AL65" s="182">
        <f>SUM(L65:AH65)</f>
        <v>185.10000000000002</v>
      </c>
      <c r="AM65" s="185" t="s">
        <v>10</v>
      </c>
      <c r="AN65" s="183" t="s">
        <v>999</v>
      </c>
      <c r="AO65" s="183" t="s">
        <v>545</v>
      </c>
      <c r="AP65" s="186">
        <f t="shared" si="0"/>
        <v>7.7200000000000006</v>
      </c>
      <c r="AQ65" s="187">
        <v>10</v>
      </c>
      <c r="AR65" s="188">
        <f t="shared" si="1"/>
        <v>19.5</v>
      </c>
      <c r="AS65" s="188">
        <f t="shared" si="2"/>
        <v>0</v>
      </c>
      <c r="AT65" s="188">
        <f t="shared" si="2"/>
        <v>0</v>
      </c>
      <c r="AU65" s="188">
        <f t="shared" si="3"/>
        <v>77.2</v>
      </c>
      <c r="AV65" s="188">
        <f t="shared" si="4"/>
        <v>77.2</v>
      </c>
    </row>
    <row r="66" spans="1:48">
      <c r="A66" s="176">
        <v>319</v>
      </c>
      <c r="B66" s="180"/>
      <c r="C66" s="176" t="s">
        <v>865</v>
      </c>
      <c r="D66" s="176" t="s">
        <v>96</v>
      </c>
      <c r="E66" s="176" t="s">
        <v>121</v>
      </c>
      <c r="F66" s="176" t="s">
        <v>122</v>
      </c>
      <c r="G66" s="176" t="s">
        <v>12</v>
      </c>
      <c r="H66" s="176" t="s">
        <v>31</v>
      </c>
      <c r="I66" s="176" t="s">
        <v>64</v>
      </c>
      <c r="J66" s="176" t="s">
        <v>763</v>
      </c>
      <c r="K66" s="176" t="s">
        <v>270</v>
      </c>
      <c r="L66" s="177"/>
      <c r="M66" s="177"/>
      <c r="N66" s="177"/>
      <c r="O66" s="177"/>
      <c r="P66" s="177"/>
      <c r="Q66" s="182">
        <v>16.600000000000001</v>
      </c>
      <c r="R66" s="182">
        <v>4.5999999999999996</v>
      </c>
      <c r="S66" s="182">
        <v>5.0999999999999996</v>
      </c>
      <c r="T66" s="182">
        <v>16.2</v>
      </c>
      <c r="U66" s="183" t="s">
        <v>754</v>
      </c>
      <c r="V66" s="183">
        <v>14.4</v>
      </c>
      <c r="W66" s="183" t="s">
        <v>95</v>
      </c>
      <c r="X66" s="177"/>
      <c r="Y66" s="177"/>
      <c r="Z66" s="177"/>
      <c r="AA66" s="177"/>
      <c r="AB66" s="177"/>
      <c r="AC66" s="177"/>
      <c r="AD66" s="177"/>
      <c r="AE66" s="177"/>
      <c r="AF66" s="183"/>
      <c r="AG66" s="183"/>
      <c r="AH66" s="183">
        <v>61.4</v>
      </c>
      <c r="AI66" s="184">
        <v>9.5336999999999996</v>
      </c>
      <c r="AJ66" s="176">
        <v>8</v>
      </c>
      <c r="AK66" s="176"/>
      <c r="AL66" s="182">
        <f>SUM(L66:AH66)</f>
        <v>118.3</v>
      </c>
      <c r="AM66" s="185" t="s">
        <v>31</v>
      </c>
      <c r="AN66" s="183" t="s">
        <v>999</v>
      </c>
      <c r="AO66" s="183" t="s">
        <v>545</v>
      </c>
      <c r="AP66" s="186">
        <f t="shared" si="0"/>
        <v>5.1166666666666663</v>
      </c>
      <c r="AQ66" s="187">
        <v>12</v>
      </c>
      <c r="AR66" s="188" t="str">
        <f t="shared" si="1"/>
        <v>12年累積</v>
      </c>
      <c r="AS66" s="188">
        <f t="shared" si="2"/>
        <v>0</v>
      </c>
      <c r="AT66" s="188">
        <f t="shared" si="2"/>
        <v>0</v>
      </c>
      <c r="AU66" s="188">
        <f t="shared" si="3"/>
        <v>61.4</v>
      </c>
      <c r="AV66" s="188">
        <f t="shared" si="4"/>
        <v>61.4</v>
      </c>
    </row>
    <row r="67" spans="1:48">
      <c r="A67" s="176">
        <v>320</v>
      </c>
      <c r="B67" s="180"/>
      <c r="C67" s="176" t="s">
        <v>866</v>
      </c>
      <c r="D67" s="176" t="s">
        <v>96</v>
      </c>
      <c r="E67" s="176" t="s">
        <v>867</v>
      </c>
      <c r="F67" s="176" t="s">
        <v>123</v>
      </c>
      <c r="G67" s="176" t="s">
        <v>9</v>
      </c>
      <c r="H67" s="176" t="s">
        <v>10</v>
      </c>
      <c r="I67" s="176" t="s">
        <v>64</v>
      </c>
      <c r="J67" s="176" t="s">
        <v>763</v>
      </c>
      <c r="K67" s="176" t="s">
        <v>270</v>
      </c>
      <c r="L67" s="177"/>
      <c r="M67" s="177"/>
      <c r="N67" s="182">
        <v>12</v>
      </c>
      <c r="O67" s="183" t="s">
        <v>754</v>
      </c>
      <c r="P67" s="183">
        <v>19.2</v>
      </c>
      <c r="Q67" s="182">
        <v>23.1</v>
      </c>
      <c r="R67" s="182">
        <v>3.4</v>
      </c>
      <c r="S67" s="182">
        <v>2.1</v>
      </c>
      <c r="T67" s="182">
        <v>17.399999999999999</v>
      </c>
      <c r="U67" s="182">
        <v>-0.6</v>
      </c>
      <c r="V67" s="182">
        <v>18.399999999999999</v>
      </c>
      <c r="W67" s="182">
        <v>35.4</v>
      </c>
      <c r="X67" s="182">
        <v>10.6</v>
      </c>
      <c r="Y67" s="183" t="s">
        <v>756</v>
      </c>
      <c r="Z67" s="177"/>
      <c r="AA67" s="177"/>
      <c r="AB67" s="183">
        <v>18.399999999999999</v>
      </c>
      <c r="AC67" s="173" t="s">
        <v>744</v>
      </c>
      <c r="AD67" s="177"/>
      <c r="AE67" s="177">
        <v>9.1999999999999993</v>
      </c>
      <c r="AF67" s="173" t="s">
        <v>744</v>
      </c>
      <c r="AG67" s="183"/>
      <c r="AH67" s="183">
        <v>16.7</v>
      </c>
      <c r="AI67" s="184">
        <v>7.4264000000000001</v>
      </c>
      <c r="AJ67" s="176">
        <v>8</v>
      </c>
      <c r="AK67" s="176"/>
      <c r="AL67" s="182">
        <f>SUM(L67:AH67)</f>
        <v>185.29999999999998</v>
      </c>
      <c r="AM67" s="185" t="s">
        <v>10</v>
      </c>
      <c r="AN67" s="183" t="s">
        <v>999</v>
      </c>
      <c r="AO67" s="183" t="s">
        <v>545</v>
      </c>
      <c r="AP67" s="186">
        <f t="shared" si="0"/>
        <v>5.5666666666666664</v>
      </c>
      <c r="AQ67" s="187">
        <v>3</v>
      </c>
      <c r="AR67" s="188">
        <f t="shared" si="1"/>
        <v>35.4</v>
      </c>
      <c r="AS67" s="188">
        <f t="shared" si="2"/>
        <v>0</v>
      </c>
      <c r="AT67" s="188">
        <f t="shared" si="2"/>
        <v>9.1999999999999993</v>
      </c>
      <c r="AU67" s="188">
        <f t="shared" si="3"/>
        <v>16.7</v>
      </c>
      <c r="AV67" s="188">
        <f t="shared" si="4"/>
        <v>25.9</v>
      </c>
    </row>
    <row r="68" spans="1:48">
      <c r="A68" s="176">
        <v>321</v>
      </c>
      <c r="B68" s="180" t="s">
        <v>1002</v>
      </c>
      <c r="C68" s="176" t="s">
        <v>868</v>
      </c>
      <c r="D68" s="176" t="s">
        <v>96</v>
      </c>
      <c r="E68" s="176" t="s">
        <v>124</v>
      </c>
      <c r="F68" s="176" t="s">
        <v>125</v>
      </c>
      <c r="G68" s="176" t="s">
        <v>9</v>
      </c>
      <c r="H68" s="176" t="s">
        <v>31</v>
      </c>
      <c r="I68" s="176" t="s">
        <v>64</v>
      </c>
      <c r="J68" s="176" t="s">
        <v>763</v>
      </c>
      <c r="K68" s="176" t="s">
        <v>270</v>
      </c>
      <c r="L68" s="177"/>
      <c r="M68" s="177"/>
      <c r="N68" s="177"/>
      <c r="O68" s="177"/>
      <c r="P68" s="177"/>
      <c r="Q68" s="182">
        <v>21.7</v>
      </c>
      <c r="R68" s="182">
        <v>7</v>
      </c>
      <c r="S68" s="182">
        <v>-1</v>
      </c>
      <c r="T68" s="182">
        <v>15.1</v>
      </c>
      <c r="U68" s="182">
        <v>-3.2</v>
      </c>
      <c r="V68" s="182">
        <v>25.2</v>
      </c>
      <c r="W68" s="182" t="s">
        <v>770</v>
      </c>
      <c r="X68" s="182">
        <v>14.8</v>
      </c>
      <c r="Y68" s="182">
        <v>-2.2999999999999998</v>
      </c>
      <c r="Z68" s="176">
        <v>5.8</v>
      </c>
      <c r="AA68" s="182">
        <v>8.1999999999999993</v>
      </c>
      <c r="AB68" s="182">
        <v>-2.2999999999999998</v>
      </c>
      <c r="AC68" s="182">
        <v>9</v>
      </c>
      <c r="AD68" s="182">
        <v>-0.6</v>
      </c>
      <c r="AE68" s="182">
        <v>-2</v>
      </c>
      <c r="AF68" s="182">
        <v>6.3</v>
      </c>
      <c r="AG68" s="182">
        <v>6.1</v>
      </c>
      <c r="AH68" s="182">
        <v>-0.3</v>
      </c>
      <c r="AI68" s="184">
        <v>8.3385999999999996</v>
      </c>
      <c r="AJ68" s="176">
        <v>8</v>
      </c>
      <c r="AK68" s="176" t="s">
        <v>771</v>
      </c>
      <c r="AL68" s="182">
        <f>SUM(X68:AH68)</f>
        <v>42.7</v>
      </c>
      <c r="AM68" s="185" t="s">
        <v>615</v>
      </c>
      <c r="AN68" s="183" t="s">
        <v>999</v>
      </c>
      <c r="AO68" s="183" t="s">
        <v>545</v>
      </c>
      <c r="AP68" s="186">
        <f t="shared" si="0"/>
        <v>-0.3</v>
      </c>
      <c r="AQ68" s="187">
        <v>1</v>
      </c>
      <c r="AR68" s="188" t="str">
        <f t="shared" si="1"/>
        <v>A</v>
      </c>
      <c r="AS68" s="188">
        <f t="shared" si="2"/>
        <v>-0.6</v>
      </c>
      <c r="AT68" s="188">
        <f t="shared" si="2"/>
        <v>-2</v>
      </c>
      <c r="AU68" s="188">
        <f t="shared" si="3"/>
        <v>-0.3</v>
      </c>
      <c r="AV68" s="188">
        <f t="shared" si="4"/>
        <v>9.4999999999999982</v>
      </c>
    </row>
    <row r="69" spans="1:48">
      <c r="A69" s="176">
        <v>322</v>
      </c>
      <c r="B69" s="180"/>
      <c r="C69" s="176" t="s">
        <v>869</v>
      </c>
      <c r="D69" s="176" t="s">
        <v>96</v>
      </c>
      <c r="E69" s="176" t="s">
        <v>277</v>
      </c>
      <c r="F69" s="176" t="s">
        <v>126</v>
      </c>
      <c r="G69" s="176" t="s">
        <v>9</v>
      </c>
      <c r="H69" s="176" t="s">
        <v>127</v>
      </c>
      <c r="I69" s="176" t="s">
        <v>64</v>
      </c>
      <c r="J69" s="176" t="s">
        <v>54</v>
      </c>
      <c r="K69" s="176" t="s">
        <v>270</v>
      </c>
      <c r="L69" s="177"/>
      <c r="M69" s="177"/>
      <c r="N69" s="177"/>
      <c r="O69" s="177"/>
      <c r="P69" s="177"/>
      <c r="Q69" s="177"/>
      <c r="R69" s="182">
        <v>11.9</v>
      </c>
      <c r="S69" s="182">
        <v>1.9</v>
      </c>
      <c r="T69" s="182">
        <v>19.8</v>
      </c>
      <c r="U69" s="182">
        <v>-3.5</v>
      </c>
      <c r="V69" s="182">
        <v>49.9</v>
      </c>
      <c r="W69" s="182">
        <v>28.7</v>
      </c>
      <c r="X69" s="182">
        <v>28.6</v>
      </c>
      <c r="Y69" s="183" t="s">
        <v>756</v>
      </c>
      <c r="Z69" s="177"/>
      <c r="AA69" s="177"/>
      <c r="AB69" s="183">
        <v>86.3</v>
      </c>
      <c r="AC69" s="173" t="s">
        <v>744</v>
      </c>
      <c r="AD69" s="177"/>
      <c r="AE69" s="177" t="s">
        <v>770</v>
      </c>
      <c r="AF69" s="173" t="s">
        <v>744</v>
      </c>
      <c r="AG69" s="183"/>
      <c r="AH69" s="183" t="s">
        <v>770</v>
      </c>
      <c r="AI69" s="184">
        <v>3.8271999999999999</v>
      </c>
      <c r="AJ69" s="176">
        <v>8</v>
      </c>
      <c r="AK69" s="176" t="s">
        <v>1019</v>
      </c>
      <c r="AL69" s="182"/>
      <c r="AM69" s="185"/>
      <c r="AN69" s="183"/>
      <c r="AO69" s="183"/>
      <c r="AP69" s="186"/>
      <c r="AQ69" s="187"/>
      <c r="AR69" s="188">
        <f t="shared" ref="AR69:AR132" si="6">W69</f>
        <v>28.7</v>
      </c>
      <c r="AS69" s="188">
        <f t="shared" ref="AS69:AT132" si="7">AD69</f>
        <v>0</v>
      </c>
      <c r="AT69" s="188" t="str">
        <f t="shared" si="7"/>
        <v>A</v>
      </c>
      <c r="AU69" s="188" t="str">
        <f t="shared" ref="AU69:AU132" si="8">AH69</f>
        <v>A</v>
      </c>
      <c r="AV69" s="188">
        <f t="shared" ref="AV69:AV132" si="9">SUM(AD69:AH69)</f>
        <v>0</v>
      </c>
    </row>
    <row r="70" spans="1:48">
      <c r="A70" s="176">
        <v>323</v>
      </c>
      <c r="B70" s="180"/>
      <c r="C70" s="176" t="s">
        <v>872</v>
      </c>
      <c r="D70" s="176" t="s">
        <v>96</v>
      </c>
      <c r="E70" s="176" t="s">
        <v>278</v>
      </c>
      <c r="F70" s="176" t="s">
        <v>128</v>
      </c>
      <c r="G70" s="176" t="s">
        <v>9</v>
      </c>
      <c r="H70" s="176" t="s">
        <v>31</v>
      </c>
      <c r="I70" s="176" t="s">
        <v>743</v>
      </c>
      <c r="J70" s="176" t="s">
        <v>763</v>
      </c>
      <c r="K70" s="176" t="s">
        <v>270</v>
      </c>
      <c r="L70" s="177"/>
      <c r="M70" s="177"/>
      <c r="N70" s="177"/>
      <c r="O70" s="177"/>
      <c r="P70" s="177"/>
      <c r="Q70" s="182">
        <v>60.7</v>
      </c>
      <c r="R70" s="182">
        <v>0.9</v>
      </c>
      <c r="S70" s="182">
        <v>-1.5</v>
      </c>
      <c r="T70" s="182">
        <v>21.8</v>
      </c>
      <c r="U70" s="182">
        <v>-1</v>
      </c>
      <c r="V70" s="182">
        <v>14.3</v>
      </c>
      <c r="W70" s="183" t="s">
        <v>775</v>
      </c>
      <c r="X70" s="177"/>
      <c r="Y70" s="177"/>
      <c r="Z70" s="177"/>
      <c r="AA70" s="177"/>
      <c r="AB70" s="183">
        <v>29.9</v>
      </c>
      <c r="AC70" s="173" t="s">
        <v>744</v>
      </c>
      <c r="AD70" s="177"/>
      <c r="AE70" s="177">
        <v>2.1</v>
      </c>
      <c r="AF70" s="173" t="s">
        <v>744</v>
      </c>
      <c r="AG70" s="183"/>
      <c r="AH70" s="183">
        <v>9.1999999999999993</v>
      </c>
      <c r="AI70" s="184">
        <v>3.4984000000000002</v>
      </c>
      <c r="AJ70" s="176">
        <v>8</v>
      </c>
      <c r="AK70" s="176"/>
      <c r="AL70" s="182">
        <f>SUM(L70:AH70)</f>
        <v>136.39999999999998</v>
      </c>
      <c r="AM70" s="185" t="s">
        <v>31</v>
      </c>
      <c r="AN70" s="183" t="s">
        <v>999</v>
      </c>
      <c r="AO70" s="183" t="s">
        <v>545</v>
      </c>
      <c r="AP70" s="186">
        <f t="shared" ref="AP70:AP132" si="10">AH70/AQ70</f>
        <v>3.0666666666666664</v>
      </c>
      <c r="AQ70" s="187">
        <v>3</v>
      </c>
      <c r="AR70" s="188" t="str">
        <f t="shared" si="6"/>
        <v>６年累積</v>
      </c>
      <c r="AS70" s="188">
        <f t="shared" si="7"/>
        <v>0</v>
      </c>
      <c r="AT70" s="188">
        <f t="shared" si="7"/>
        <v>2.1</v>
      </c>
      <c r="AU70" s="188">
        <f t="shared" si="8"/>
        <v>9.1999999999999993</v>
      </c>
      <c r="AV70" s="188">
        <f t="shared" si="9"/>
        <v>11.299999999999999</v>
      </c>
    </row>
    <row r="71" spans="1:48">
      <c r="A71" s="176">
        <v>324</v>
      </c>
      <c r="B71" s="180"/>
      <c r="C71" s="176" t="s">
        <v>874</v>
      </c>
      <c r="D71" s="176" t="s">
        <v>96</v>
      </c>
      <c r="E71" s="176" t="s">
        <v>1020</v>
      </c>
      <c r="F71" s="176" t="s">
        <v>876</v>
      </c>
      <c r="G71" s="176" t="s">
        <v>9</v>
      </c>
      <c r="H71" s="176" t="s">
        <v>31</v>
      </c>
      <c r="I71" s="176" t="s">
        <v>64</v>
      </c>
      <c r="J71" s="176" t="s">
        <v>54</v>
      </c>
      <c r="K71" s="176" t="s">
        <v>270</v>
      </c>
      <c r="L71" s="177"/>
      <c r="M71" s="177"/>
      <c r="N71" s="177"/>
      <c r="O71" s="177"/>
      <c r="P71" s="177"/>
      <c r="Q71" s="182">
        <v>22.2</v>
      </c>
      <c r="R71" s="182">
        <v>2.8</v>
      </c>
      <c r="S71" s="182">
        <v>-4.5999999999999996</v>
      </c>
      <c r="T71" s="182">
        <v>31.2</v>
      </c>
      <c r="U71" s="183" t="s">
        <v>93</v>
      </c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83"/>
      <c r="AG71" s="183"/>
      <c r="AH71" s="183">
        <v>164.8</v>
      </c>
      <c r="AI71" s="184">
        <v>5.1765999999999996</v>
      </c>
      <c r="AJ71" s="176">
        <v>8</v>
      </c>
      <c r="AK71" s="176"/>
      <c r="AL71" s="182">
        <f>SUM(L71:AH71)</f>
        <v>216.4</v>
      </c>
      <c r="AM71" s="185" t="s">
        <v>31</v>
      </c>
      <c r="AN71" s="183" t="s">
        <v>999</v>
      </c>
      <c r="AO71" s="183" t="s">
        <v>545</v>
      </c>
      <c r="AP71" s="186">
        <f t="shared" si="10"/>
        <v>11.771428571428572</v>
      </c>
      <c r="AQ71" s="187">
        <v>14</v>
      </c>
      <c r="AR71" s="188">
        <f t="shared" si="6"/>
        <v>0</v>
      </c>
      <c r="AS71" s="188">
        <f t="shared" si="7"/>
        <v>0</v>
      </c>
      <c r="AT71" s="188">
        <f t="shared" si="7"/>
        <v>0</v>
      </c>
      <c r="AU71" s="188">
        <f t="shared" si="8"/>
        <v>164.8</v>
      </c>
      <c r="AV71" s="188">
        <f t="shared" si="9"/>
        <v>164.8</v>
      </c>
    </row>
    <row r="72" spans="1:48">
      <c r="A72" s="176">
        <v>325</v>
      </c>
      <c r="B72" s="180"/>
      <c r="C72" s="176" t="s">
        <v>877</v>
      </c>
      <c r="D72" s="176" t="s">
        <v>96</v>
      </c>
      <c r="E72" s="176" t="s">
        <v>129</v>
      </c>
      <c r="F72" s="176" t="s">
        <v>130</v>
      </c>
      <c r="G72" s="176" t="s">
        <v>9</v>
      </c>
      <c r="H72" s="176" t="s">
        <v>31</v>
      </c>
      <c r="I72" s="176" t="s">
        <v>64</v>
      </c>
      <c r="J72" s="176" t="s">
        <v>763</v>
      </c>
      <c r="K72" s="176" t="s">
        <v>270</v>
      </c>
      <c r="L72" s="177"/>
      <c r="M72" s="177"/>
      <c r="N72" s="177"/>
      <c r="O72" s="177"/>
      <c r="P72" s="177"/>
      <c r="Q72" s="182">
        <v>16.100000000000001</v>
      </c>
      <c r="R72" s="182">
        <v>0.3</v>
      </c>
      <c r="S72" s="182">
        <v>-9.6999999999999993</v>
      </c>
      <c r="T72" s="182">
        <v>6.9</v>
      </c>
      <c r="U72" s="183" t="s">
        <v>93</v>
      </c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83"/>
      <c r="AG72" s="183"/>
      <c r="AH72" s="183">
        <v>-1.6</v>
      </c>
      <c r="AI72" s="184">
        <v>4.8598999999999997</v>
      </c>
      <c r="AJ72" s="176">
        <v>8</v>
      </c>
      <c r="AK72" s="176"/>
      <c r="AL72" s="182">
        <f>SUM(L72:AH72)</f>
        <v>12.000000000000004</v>
      </c>
      <c r="AM72" s="185" t="s">
        <v>31</v>
      </c>
      <c r="AN72" s="183" t="s">
        <v>999</v>
      </c>
      <c r="AO72" s="183" t="s">
        <v>545</v>
      </c>
      <c r="AP72" s="186">
        <f t="shared" si="10"/>
        <v>-0.1142857142857143</v>
      </c>
      <c r="AQ72" s="187">
        <v>14</v>
      </c>
      <c r="AR72" s="188">
        <f t="shared" si="6"/>
        <v>0</v>
      </c>
      <c r="AS72" s="188">
        <f t="shared" si="7"/>
        <v>0</v>
      </c>
      <c r="AT72" s="188">
        <f t="shared" si="7"/>
        <v>0</v>
      </c>
      <c r="AU72" s="188">
        <f t="shared" si="8"/>
        <v>-1.6</v>
      </c>
      <c r="AV72" s="188">
        <f t="shared" si="9"/>
        <v>-1.6</v>
      </c>
    </row>
    <row r="73" spans="1:48">
      <c r="A73" s="176">
        <v>326</v>
      </c>
      <c r="B73" s="180"/>
      <c r="C73" s="176" t="s">
        <v>878</v>
      </c>
      <c r="D73" s="176" t="s">
        <v>96</v>
      </c>
      <c r="E73" s="176" t="s">
        <v>1021</v>
      </c>
      <c r="F73" s="176" t="s">
        <v>131</v>
      </c>
      <c r="G73" s="176" t="s">
        <v>9</v>
      </c>
      <c r="H73" s="176" t="s">
        <v>31</v>
      </c>
      <c r="I73" s="176" t="s">
        <v>64</v>
      </c>
      <c r="J73" s="176" t="s">
        <v>54</v>
      </c>
      <c r="K73" s="176" t="s">
        <v>270</v>
      </c>
      <c r="L73" s="177"/>
      <c r="M73" s="177"/>
      <c r="N73" s="177"/>
      <c r="O73" s="177"/>
      <c r="P73" s="177"/>
      <c r="Q73" s="182">
        <v>24.7</v>
      </c>
      <c r="R73" s="182">
        <v>4.5999999999999996</v>
      </c>
      <c r="S73" s="182">
        <v>1.8</v>
      </c>
      <c r="T73" s="182">
        <v>11.7</v>
      </c>
      <c r="U73" s="183" t="s">
        <v>93</v>
      </c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83"/>
      <c r="AG73" s="183"/>
      <c r="AH73" s="183">
        <v>30.1</v>
      </c>
      <c r="AI73" s="184">
        <v>4.2838000000000003</v>
      </c>
      <c r="AJ73" s="176">
        <v>8</v>
      </c>
      <c r="AK73" s="176"/>
      <c r="AL73" s="182">
        <f>SUM(L73:AH73)</f>
        <v>72.900000000000006</v>
      </c>
      <c r="AM73" s="185" t="s">
        <v>31</v>
      </c>
      <c r="AN73" s="183" t="s">
        <v>999</v>
      </c>
      <c r="AO73" s="183" t="s">
        <v>545</v>
      </c>
      <c r="AP73" s="186">
        <f t="shared" si="10"/>
        <v>2.15</v>
      </c>
      <c r="AQ73" s="187">
        <v>14</v>
      </c>
      <c r="AR73" s="188">
        <f t="shared" si="6"/>
        <v>0</v>
      </c>
      <c r="AS73" s="188">
        <f t="shared" si="7"/>
        <v>0</v>
      </c>
      <c r="AT73" s="188">
        <f t="shared" si="7"/>
        <v>0</v>
      </c>
      <c r="AU73" s="188">
        <f t="shared" si="8"/>
        <v>30.1</v>
      </c>
      <c r="AV73" s="188">
        <f t="shared" si="9"/>
        <v>30.1</v>
      </c>
    </row>
    <row r="74" spans="1:48">
      <c r="A74" s="176">
        <v>327</v>
      </c>
      <c r="B74" s="180"/>
      <c r="C74" s="176" t="s">
        <v>880</v>
      </c>
      <c r="D74" s="176" t="s">
        <v>96</v>
      </c>
      <c r="E74" s="176" t="s">
        <v>1022</v>
      </c>
      <c r="F74" s="176" t="s">
        <v>882</v>
      </c>
      <c r="G74" s="176" t="s">
        <v>9</v>
      </c>
      <c r="H74" s="176" t="s">
        <v>31</v>
      </c>
      <c r="I74" s="176" t="s">
        <v>64</v>
      </c>
      <c r="J74" s="176" t="s">
        <v>54</v>
      </c>
      <c r="K74" s="176" t="s">
        <v>270</v>
      </c>
      <c r="L74" s="177"/>
      <c r="M74" s="177"/>
      <c r="N74" s="177"/>
      <c r="O74" s="177"/>
      <c r="P74" s="177"/>
      <c r="Q74" s="182">
        <v>20.2</v>
      </c>
      <c r="R74" s="182">
        <v>3.1</v>
      </c>
      <c r="S74" s="182">
        <v>-2</v>
      </c>
      <c r="T74" s="182">
        <v>9</v>
      </c>
      <c r="U74" s="182">
        <v>-3.4</v>
      </c>
      <c r="V74" s="182">
        <v>20.8</v>
      </c>
      <c r="W74" s="177"/>
      <c r="X74" s="177"/>
      <c r="Y74" s="177"/>
      <c r="Z74" s="177"/>
      <c r="AA74" s="177"/>
      <c r="AB74" s="177"/>
      <c r="AC74" s="177"/>
      <c r="AD74" s="177"/>
      <c r="AE74" s="177"/>
      <c r="AF74" s="183"/>
      <c r="AG74" s="183"/>
      <c r="AH74" s="183"/>
      <c r="AI74" s="184">
        <v>3.8841999999999999</v>
      </c>
      <c r="AJ74" s="176">
        <v>59</v>
      </c>
      <c r="AK74" s="176" t="s">
        <v>20</v>
      </c>
      <c r="AL74" s="182"/>
      <c r="AM74" s="185"/>
      <c r="AN74" s="183"/>
      <c r="AO74" s="183"/>
      <c r="AP74" s="186"/>
      <c r="AQ74" s="187"/>
      <c r="AR74" s="188">
        <f t="shared" si="6"/>
        <v>0</v>
      </c>
      <c r="AS74" s="188">
        <f t="shared" si="7"/>
        <v>0</v>
      </c>
      <c r="AT74" s="188">
        <f t="shared" si="7"/>
        <v>0</v>
      </c>
      <c r="AU74" s="188">
        <f t="shared" si="8"/>
        <v>0</v>
      </c>
      <c r="AV74" s="188">
        <f t="shared" si="9"/>
        <v>0</v>
      </c>
    </row>
    <row r="75" spans="1:48">
      <c r="A75" s="176">
        <v>401</v>
      </c>
      <c r="B75" s="180"/>
      <c r="C75" s="176" t="s">
        <v>883</v>
      </c>
      <c r="D75" s="176" t="s">
        <v>132</v>
      </c>
      <c r="E75" s="176" t="s">
        <v>133</v>
      </c>
      <c r="F75" s="176" t="s">
        <v>134</v>
      </c>
      <c r="G75" s="176" t="s">
        <v>9</v>
      </c>
      <c r="H75" s="176" t="s">
        <v>10</v>
      </c>
      <c r="I75" s="176" t="s">
        <v>743</v>
      </c>
      <c r="J75" s="176" t="s">
        <v>1011</v>
      </c>
      <c r="K75" s="176" t="s">
        <v>263</v>
      </c>
      <c r="L75" s="177"/>
      <c r="M75" s="177"/>
      <c r="N75" s="182">
        <v>-0.9</v>
      </c>
      <c r="O75" s="182">
        <v>-2</v>
      </c>
      <c r="P75" s="182">
        <v>14.6</v>
      </c>
      <c r="Q75" s="182">
        <v>5.9</v>
      </c>
      <c r="R75" s="182">
        <v>1.1000000000000001</v>
      </c>
      <c r="S75" s="182">
        <v>-1.6</v>
      </c>
      <c r="T75" s="182">
        <v>2.8</v>
      </c>
      <c r="U75" s="182">
        <v>1.7</v>
      </c>
      <c r="V75" s="182">
        <v>2</v>
      </c>
      <c r="W75" s="183" t="s">
        <v>754</v>
      </c>
      <c r="X75" s="183">
        <v>11.6</v>
      </c>
      <c r="Y75" s="185" t="s">
        <v>756</v>
      </c>
      <c r="Z75" s="177"/>
      <c r="AA75" s="177"/>
      <c r="AB75" s="183">
        <v>4</v>
      </c>
      <c r="AC75" s="173" t="s">
        <v>744</v>
      </c>
      <c r="AD75" s="177"/>
      <c r="AE75" s="177">
        <v>4.3</v>
      </c>
      <c r="AF75" s="173" t="s">
        <v>744</v>
      </c>
      <c r="AG75" s="183"/>
      <c r="AH75" s="183">
        <v>3.7</v>
      </c>
      <c r="AI75" s="184">
        <v>14.696099999999999</v>
      </c>
      <c r="AJ75" s="176">
        <v>8</v>
      </c>
      <c r="AK75" s="176"/>
      <c r="AL75" s="182">
        <f t="shared" ref="AL75:AL82" si="11">SUM(L75:AH75)</f>
        <v>47.2</v>
      </c>
      <c r="AM75" s="185" t="s">
        <v>10</v>
      </c>
      <c r="AN75" s="183" t="s">
        <v>999</v>
      </c>
      <c r="AO75" s="183" t="s">
        <v>545</v>
      </c>
      <c r="AP75" s="186">
        <f t="shared" si="10"/>
        <v>1.2333333333333334</v>
      </c>
      <c r="AQ75" s="187">
        <v>3</v>
      </c>
      <c r="AR75" s="188" t="str">
        <f t="shared" si="6"/>
        <v>２年累積</v>
      </c>
      <c r="AS75" s="188">
        <f t="shared" si="7"/>
        <v>0</v>
      </c>
      <c r="AT75" s="188">
        <f t="shared" si="7"/>
        <v>4.3</v>
      </c>
      <c r="AU75" s="188">
        <f t="shared" si="8"/>
        <v>3.7</v>
      </c>
      <c r="AV75" s="188">
        <f t="shared" si="9"/>
        <v>8</v>
      </c>
    </row>
    <row r="76" spans="1:48">
      <c r="A76" s="176">
        <v>402</v>
      </c>
      <c r="B76" s="180"/>
      <c r="C76" s="176" t="s">
        <v>884</v>
      </c>
      <c r="D76" s="176" t="s">
        <v>132</v>
      </c>
      <c r="E76" s="176" t="s">
        <v>135</v>
      </c>
      <c r="F76" s="176" t="s">
        <v>136</v>
      </c>
      <c r="G76" s="176" t="s">
        <v>12</v>
      </c>
      <c r="H76" s="176" t="s">
        <v>73</v>
      </c>
      <c r="I76" s="176" t="s">
        <v>743</v>
      </c>
      <c r="J76" s="176" t="s">
        <v>1011</v>
      </c>
      <c r="K76" s="176" t="s">
        <v>263</v>
      </c>
      <c r="L76" s="177"/>
      <c r="M76" s="177"/>
      <c r="N76" s="181"/>
      <c r="O76" s="183" t="s">
        <v>754</v>
      </c>
      <c r="P76" s="183">
        <v>12.3</v>
      </c>
      <c r="Q76" s="182">
        <v>4.7</v>
      </c>
      <c r="R76" s="182">
        <v>2.2000000000000002</v>
      </c>
      <c r="S76" s="182">
        <v>-1.6</v>
      </c>
      <c r="T76" s="182">
        <v>4.0999999999999996</v>
      </c>
      <c r="U76" s="182">
        <v>0.7</v>
      </c>
      <c r="V76" s="182">
        <v>-0.3</v>
      </c>
      <c r="W76" s="183" t="s">
        <v>754</v>
      </c>
      <c r="X76" s="183">
        <v>8.3000000000000007</v>
      </c>
      <c r="Y76" s="185" t="s">
        <v>756</v>
      </c>
      <c r="Z76" s="177"/>
      <c r="AA76" s="177"/>
      <c r="AB76" s="183">
        <v>6.4</v>
      </c>
      <c r="AC76" s="173" t="s">
        <v>744</v>
      </c>
      <c r="AD76" s="177"/>
      <c r="AE76" s="177">
        <v>6.2</v>
      </c>
      <c r="AF76" s="173" t="s">
        <v>744</v>
      </c>
      <c r="AG76" s="183"/>
      <c r="AH76" s="183">
        <v>5.3</v>
      </c>
      <c r="AI76" s="184">
        <v>20.836099999999998</v>
      </c>
      <c r="AJ76" s="176">
        <v>8</v>
      </c>
      <c r="AK76" s="176"/>
      <c r="AL76" s="182">
        <f t="shared" si="11"/>
        <v>48.3</v>
      </c>
      <c r="AM76" s="185" t="s">
        <v>73</v>
      </c>
      <c r="AN76" s="183" t="s">
        <v>999</v>
      </c>
      <c r="AO76" s="183" t="s">
        <v>545</v>
      </c>
      <c r="AP76" s="186">
        <f t="shared" si="10"/>
        <v>1.7666666666666666</v>
      </c>
      <c r="AQ76" s="187">
        <v>3</v>
      </c>
      <c r="AR76" s="188" t="str">
        <f t="shared" si="6"/>
        <v>２年累積</v>
      </c>
      <c r="AS76" s="188">
        <f t="shared" si="7"/>
        <v>0</v>
      </c>
      <c r="AT76" s="188">
        <f t="shared" si="7"/>
        <v>6.2</v>
      </c>
      <c r="AU76" s="188">
        <f t="shared" si="8"/>
        <v>5.3</v>
      </c>
      <c r="AV76" s="188">
        <f t="shared" si="9"/>
        <v>11.5</v>
      </c>
    </row>
    <row r="77" spans="1:48">
      <c r="A77" s="176">
        <v>403</v>
      </c>
      <c r="B77" s="180"/>
      <c r="C77" s="176" t="s">
        <v>885</v>
      </c>
      <c r="D77" s="176" t="s">
        <v>132</v>
      </c>
      <c r="E77" s="176" t="s">
        <v>137</v>
      </c>
      <c r="F77" s="176" t="s">
        <v>138</v>
      </c>
      <c r="G77" s="176" t="s">
        <v>9</v>
      </c>
      <c r="H77" s="176" t="s">
        <v>10</v>
      </c>
      <c r="I77" s="176" t="s">
        <v>743</v>
      </c>
      <c r="J77" s="176" t="s">
        <v>1011</v>
      </c>
      <c r="K77" s="176" t="s">
        <v>263</v>
      </c>
      <c r="L77" s="177"/>
      <c r="M77" s="181"/>
      <c r="N77" s="183" t="s">
        <v>744</v>
      </c>
      <c r="O77" s="177"/>
      <c r="P77" s="183">
        <v>5.6</v>
      </c>
      <c r="Q77" s="182">
        <v>6.8</v>
      </c>
      <c r="R77" s="182">
        <v>0.4</v>
      </c>
      <c r="S77" s="183" t="s">
        <v>754</v>
      </c>
      <c r="T77" s="189">
        <v>2.4</v>
      </c>
      <c r="U77" s="183" t="s">
        <v>756</v>
      </c>
      <c r="V77" s="177"/>
      <c r="W77" s="177"/>
      <c r="X77" s="183">
        <v>9.1</v>
      </c>
      <c r="Y77" s="185" t="s">
        <v>756</v>
      </c>
      <c r="Z77" s="177"/>
      <c r="AA77" s="177"/>
      <c r="AB77" s="183">
        <v>10.5</v>
      </c>
      <c r="AC77" s="173" t="s">
        <v>744</v>
      </c>
      <c r="AD77" s="177"/>
      <c r="AE77" s="177">
        <v>3.4</v>
      </c>
      <c r="AF77" s="173" t="s">
        <v>744</v>
      </c>
      <c r="AG77" s="183"/>
      <c r="AH77" s="183">
        <v>3.2</v>
      </c>
      <c r="AI77" s="184">
        <v>23.1707</v>
      </c>
      <c r="AJ77" s="176">
        <v>8</v>
      </c>
      <c r="AK77" s="176"/>
      <c r="AL77" s="182">
        <f t="shared" si="11"/>
        <v>41.4</v>
      </c>
      <c r="AM77" s="185" t="s">
        <v>10</v>
      </c>
      <c r="AN77" s="183" t="s">
        <v>999</v>
      </c>
      <c r="AO77" s="183" t="s">
        <v>545</v>
      </c>
      <c r="AP77" s="186">
        <f t="shared" si="10"/>
        <v>1.0666666666666667</v>
      </c>
      <c r="AQ77" s="187">
        <v>3</v>
      </c>
      <c r="AR77" s="188">
        <f t="shared" si="6"/>
        <v>0</v>
      </c>
      <c r="AS77" s="188">
        <f t="shared" si="7"/>
        <v>0</v>
      </c>
      <c r="AT77" s="188">
        <f t="shared" si="7"/>
        <v>3.4</v>
      </c>
      <c r="AU77" s="188">
        <f t="shared" si="8"/>
        <v>3.2</v>
      </c>
      <c r="AV77" s="188">
        <f t="shared" si="9"/>
        <v>6.6</v>
      </c>
    </row>
    <row r="78" spans="1:48">
      <c r="A78" s="176">
        <v>404</v>
      </c>
      <c r="B78" s="180"/>
      <c r="C78" s="176" t="s">
        <v>886</v>
      </c>
      <c r="D78" s="176" t="s">
        <v>132</v>
      </c>
      <c r="E78" s="176" t="s">
        <v>139</v>
      </c>
      <c r="F78" s="176" t="s">
        <v>140</v>
      </c>
      <c r="G78" s="176" t="s">
        <v>9</v>
      </c>
      <c r="H78" s="176" t="s">
        <v>10</v>
      </c>
      <c r="I78" s="176" t="s">
        <v>743</v>
      </c>
      <c r="J78" s="176" t="s">
        <v>141</v>
      </c>
      <c r="K78" s="176" t="s">
        <v>1023</v>
      </c>
      <c r="L78" s="177"/>
      <c r="M78" s="177"/>
      <c r="N78" s="182">
        <v>-5</v>
      </c>
      <c r="O78" s="182">
        <v>-5.2</v>
      </c>
      <c r="P78" s="182">
        <v>14.7</v>
      </c>
      <c r="Q78" s="182">
        <v>3.4</v>
      </c>
      <c r="R78" s="182">
        <v>3</v>
      </c>
      <c r="S78" s="182">
        <v>-2.8</v>
      </c>
      <c r="T78" s="182">
        <v>0.8</v>
      </c>
      <c r="U78" s="182">
        <v>2.2000000000000002</v>
      </c>
      <c r="V78" s="182">
        <v>-3.5</v>
      </c>
      <c r="W78" s="183" t="s">
        <v>775</v>
      </c>
      <c r="X78" s="177"/>
      <c r="Y78" s="177"/>
      <c r="Z78" s="177"/>
      <c r="AA78" s="177"/>
      <c r="AB78" s="183">
        <v>17.8</v>
      </c>
      <c r="AC78" s="173" t="s">
        <v>744</v>
      </c>
      <c r="AD78" s="177"/>
      <c r="AE78" s="177">
        <v>1.1000000000000001</v>
      </c>
      <c r="AF78" s="173" t="s">
        <v>744</v>
      </c>
      <c r="AG78" s="183"/>
      <c r="AH78" s="183">
        <v>1.8</v>
      </c>
      <c r="AI78" s="184">
        <v>23.969799999999999</v>
      </c>
      <c r="AJ78" s="176">
        <v>8</v>
      </c>
      <c r="AK78" s="176"/>
      <c r="AL78" s="182">
        <f t="shared" si="11"/>
        <v>28.300000000000004</v>
      </c>
      <c r="AM78" s="185" t="s">
        <v>10</v>
      </c>
      <c r="AN78" s="183" t="s">
        <v>999</v>
      </c>
      <c r="AO78" s="183" t="s">
        <v>545</v>
      </c>
      <c r="AP78" s="186">
        <f t="shared" si="10"/>
        <v>0.6</v>
      </c>
      <c r="AQ78" s="187">
        <v>3</v>
      </c>
      <c r="AR78" s="188" t="str">
        <f t="shared" si="6"/>
        <v>６年累積</v>
      </c>
      <c r="AS78" s="188">
        <f t="shared" si="7"/>
        <v>0</v>
      </c>
      <c r="AT78" s="188">
        <f t="shared" si="7"/>
        <v>1.1000000000000001</v>
      </c>
      <c r="AU78" s="188">
        <f t="shared" si="8"/>
        <v>1.8</v>
      </c>
      <c r="AV78" s="188">
        <f t="shared" si="9"/>
        <v>2.9000000000000004</v>
      </c>
    </row>
    <row r="79" spans="1:48">
      <c r="A79" s="176">
        <v>405</v>
      </c>
      <c r="B79" s="180"/>
      <c r="C79" s="176" t="s">
        <v>887</v>
      </c>
      <c r="D79" s="176" t="s">
        <v>132</v>
      </c>
      <c r="E79" s="176" t="s">
        <v>142</v>
      </c>
      <c r="F79" s="176" t="s">
        <v>143</v>
      </c>
      <c r="G79" s="176" t="s">
        <v>12</v>
      </c>
      <c r="H79" s="176" t="s">
        <v>10</v>
      </c>
      <c r="I79" s="176" t="s">
        <v>743</v>
      </c>
      <c r="J79" s="176" t="s">
        <v>141</v>
      </c>
      <c r="K79" s="176" t="s">
        <v>1023</v>
      </c>
      <c r="L79" s="177"/>
      <c r="M79" s="177"/>
      <c r="N79" s="182">
        <v>-4.9000000000000004</v>
      </c>
      <c r="O79" s="182">
        <v>-6.2</v>
      </c>
      <c r="P79" s="182">
        <v>14.8</v>
      </c>
      <c r="Q79" s="182">
        <v>3.8</v>
      </c>
      <c r="R79" s="182">
        <v>3.7</v>
      </c>
      <c r="S79" s="183" t="s">
        <v>754</v>
      </c>
      <c r="T79" s="183">
        <v>-2.2000000000000002</v>
      </c>
      <c r="U79" s="183" t="s">
        <v>754</v>
      </c>
      <c r="V79" s="183">
        <v>-2.1</v>
      </c>
      <c r="W79" s="185" t="s">
        <v>775</v>
      </c>
      <c r="X79" s="177"/>
      <c r="Y79" s="177"/>
      <c r="Z79" s="177"/>
      <c r="AA79" s="177"/>
      <c r="AB79" s="183">
        <v>19.100000000000001</v>
      </c>
      <c r="AC79" s="173" t="s">
        <v>744</v>
      </c>
      <c r="AD79" s="177"/>
      <c r="AE79" s="177">
        <v>-1.5</v>
      </c>
      <c r="AF79" s="173" t="s">
        <v>744</v>
      </c>
      <c r="AG79" s="183"/>
      <c r="AH79" s="183">
        <v>2.1</v>
      </c>
      <c r="AI79" s="184">
        <v>23.984300000000001</v>
      </c>
      <c r="AJ79" s="176">
        <v>8</v>
      </c>
      <c r="AK79" s="176"/>
      <c r="AL79" s="182">
        <f t="shared" si="11"/>
        <v>26.6</v>
      </c>
      <c r="AM79" s="185" t="s">
        <v>10</v>
      </c>
      <c r="AN79" s="183" t="s">
        <v>999</v>
      </c>
      <c r="AO79" s="183" t="s">
        <v>545</v>
      </c>
      <c r="AP79" s="186">
        <f t="shared" si="10"/>
        <v>0.70000000000000007</v>
      </c>
      <c r="AQ79" s="187">
        <v>3</v>
      </c>
      <c r="AR79" s="188" t="str">
        <f t="shared" si="6"/>
        <v>６年累積</v>
      </c>
      <c r="AS79" s="188">
        <f t="shared" si="7"/>
        <v>0</v>
      </c>
      <c r="AT79" s="188">
        <f t="shared" si="7"/>
        <v>-1.5</v>
      </c>
      <c r="AU79" s="188">
        <f t="shared" si="8"/>
        <v>2.1</v>
      </c>
      <c r="AV79" s="188">
        <f t="shared" si="9"/>
        <v>0.60000000000000009</v>
      </c>
    </row>
    <row r="80" spans="1:48">
      <c r="A80" s="176">
        <v>406</v>
      </c>
      <c r="B80" s="180"/>
      <c r="C80" s="176" t="s">
        <v>888</v>
      </c>
      <c r="D80" s="176" t="s">
        <v>132</v>
      </c>
      <c r="E80" s="176" t="s">
        <v>1024</v>
      </c>
      <c r="F80" s="176" t="s">
        <v>144</v>
      </c>
      <c r="G80" s="176" t="s">
        <v>12</v>
      </c>
      <c r="H80" s="176" t="s">
        <v>10</v>
      </c>
      <c r="I80" s="176" t="s">
        <v>743</v>
      </c>
      <c r="J80" s="176" t="s">
        <v>141</v>
      </c>
      <c r="K80" s="176" t="s">
        <v>1023</v>
      </c>
      <c r="L80" s="177"/>
      <c r="M80" s="177"/>
      <c r="N80" s="182">
        <v>-2.4</v>
      </c>
      <c r="O80" s="182">
        <v>-7.7</v>
      </c>
      <c r="P80" s="182">
        <v>14.2</v>
      </c>
      <c r="Q80" s="182">
        <v>3.8</v>
      </c>
      <c r="R80" s="182">
        <v>6.9</v>
      </c>
      <c r="S80" s="183" t="s">
        <v>754</v>
      </c>
      <c r="T80" s="183">
        <v>-2.5</v>
      </c>
      <c r="U80" s="183" t="s">
        <v>754</v>
      </c>
      <c r="V80" s="183">
        <v>-1.9</v>
      </c>
      <c r="W80" s="185" t="s">
        <v>775</v>
      </c>
      <c r="X80" s="177"/>
      <c r="Y80" s="177"/>
      <c r="Z80" s="177"/>
      <c r="AA80" s="177"/>
      <c r="AB80" s="183">
        <v>23.3</v>
      </c>
      <c r="AC80" s="173" t="s">
        <v>744</v>
      </c>
      <c r="AD80" s="177"/>
      <c r="AE80" s="177">
        <v>1.2</v>
      </c>
      <c r="AF80" s="173" t="s">
        <v>744</v>
      </c>
      <c r="AG80" s="183"/>
      <c r="AH80" s="183">
        <v>2.6</v>
      </c>
      <c r="AI80" s="184">
        <v>22.1907</v>
      </c>
      <c r="AJ80" s="176">
        <v>8</v>
      </c>
      <c r="AK80" s="176"/>
      <c r="AL80" s="182">
        <f t="shared" si="11"/>
        <v>37.500000000000007</v>
      </c>
      <c r="AM80" s="185" t="s">
        <v>10</v>
      </c>
      <c r="AN80" s="183" t="s">
        <v>999</v>
      </c>
      <c r="AO80" s="183" t="s">
        <v>545</v>
      </c>
      <c r="AP80" s="186">
        <f t="shared" si="10"/>
        <v>0.8666666666666667</v>
      </c>
      <c r="AQ80" s="187">
        <v>3</v>
      </c>
      <c r="AR80" s="188" t="str">
        <f t="shared" si="6"/>
        <v>６年累積</v>
      </c>
      <c r="AS80" s="188">
        <f t="shared" si="7"/>
        <v>0</v>
      </c>
      <c r="AT80" s="188">
        <f t="shared" si="7"/>
        <v>1.2</v>
      </c>
      <c r="AU80" s="188">
        <f t="shared" si="8"/>
        <v>2.6</v>
      </c>
      <c r="AV80" s="188">
        <f t="shared" si="9"/>
        <v>3.8</v>
      </c>
    </row>
    <row r="81" spans="1:48">
      <c r="A81" s="176">
        <v>407</v>
      </c>
      <c r="B81" s="180"/>
      <c r="C81" s="176" t="s">
        <v>890</v>
      </c>
      <c r="D81" s="176" t="s">
        <v>132</v>
      </c>
      <c r="E81" s="176" t="s">
        <v>145</v>
      </c>
      <c r="F81" s="176" t="s">
        <v>146</v>
      </c>
      <c r="G81" s="176" t="s">
        <v>9</v>
      </c>
      <c r="H81" s="176" t="s">
        <v>10</v>
      </c>
      <c r="I81" s="176" t="s">
        <v>743</v>
      </c>
      <c r="J81" s="176" t="s">
        <v>141</v>
      </c>
      <c r="K81" s="176" t="s">
        <v>1023</v>
      </c>
      <c r="L81" s="177"/>
      <c r="M81" s="177"/>
      <c r="N81" s="182">
        <v>-3.2</v>
      </c>
      <c r="O81" s="182">
        <v>-6.4</v>
      </c>
      <c r="P81" s="182">
        <v>15.6</v>
      </c>
      <c r="Q81" s="182">
        <v>2</v>
      </c>
      <c r="R81" s="182">
        <v>5.3</v>
      </c>
      <c r="S81" s="183" t="s">
        <v>754</v>
      </c>
      <c r="T81" s="183">
        <v>-1.9</v>
      </c>
      <c r="U81" s="183" t="s">
        <v>754</v>
      </c>
      <c r="V81" s="183">
        <v>0</v>
      </c>
      <c r="W81" s="185" t="s">
        <v>775</v>
      </c>
      <c r="X81" s="177"/>
      <c r="Y81" s="177"/>
      <c r="Z81" s="177"/>
      <c r="AA81" s="177"/>
      <c r="AB81" s="183">
        <v>19.100000000000001</v>
      </c>
      <c r="AC81" s="173" t="s">
        <v>744</v>
      </c>
      <c r="AD81" s="177"/>
      <c r="AE81" s="177">
        <v>0.2</v>
      </c>
      <c r="AF81" s="173" t="s">
        <v>744</v>
      </c>
      <c r="AG81" s="183"/>
      <c r="AH81" s="183">
        <v>3.4</v>
      </c>
      <c r="AI81" s="184">
        <v>18.941600000000001</v>
      </c>
      <c r="AJ81" s="176">
        <v>8</v>
      </c>
      <c r="AK81" s="176"/>
      <c r="AL81" s="182">
        <f t="shared" si="11"/>
        <v>34.1</v>
      </c>
      <c r="AM81" s="185" t="s">
        <v>10</v>
      </c>
      <c r="AN81" s="183" t="s">
        <v>999</v>
      </c>
      <c r="AO81" s="183" t="s">
        <v>545</v>
      </c>
      <c r="AP81" s="186">
        <f t="shared" si="10"/>
        <v>1.1333333333333333</v>
      </c>
      <c r="AQ81" s="187">
        <v>3</v>
      </c>
      <c r="AR81" s="188" t="str">
        <f t="shared" si="6"/>
        <v>６年累積</v>
      </c>
      <c r="AS81" s="188">
        <f t="shared" si="7"/>
        <v>0</v>
      </c>
      <c r="AT81" s="188">
        <f t="shared" si="7"/>
        <v>0.2</v>
      </c>
      <c r="AU81" s="188">
        <f t="shared" si="8"/>
        <v>3.4</v>
      </c>
      <c r="AV81" s="188">
        <f t="shared" si="9"/>
        <v>3.6</v>
      </c>
    </row>
    <row r="82" spans="1:48">
      <c r="A82" s="176">
        <v>408</v>
      </c>
      <c r="B82" s="180"/>
      <c r="C82" s="176" t="s">
        <v>891</v>
      </c>
      <c r="D82" s="176" t="s">
        <v>132</v>
      </c>
      <c r="E82" s="176" t="s">
        <v>1025</v>
      </c>
      <c r="F82" s="176" t="s">
        <v>147</v>
      </c>
      <c r="G82" s="176" t="s">
        <v>9</v>
      </c>
      <c r="H82" s="176" t="s">
        <v>10</v>
      </c>
      <c r="I82" s="176" t="s">
        <v>743</v>
      </c>
      <c r="J82" s="176" t="s">
        <v>141</v>
      </c>
      <c r="K82" s="176" t="s">
        <v>1023</v>
      </c>
      <c r="L82" s="177"/>
      <c r="M82" s="181"/>
      <c r="N82" s="183" t="s">
        <v>754</v>
      </c>
      <c r="O82" s="183">
        <v>-8.6999999999999993</v>
      </c>
      <c r="P82" s="182">
        <v>14.3</v>
      </c>
      <c r="Q82" s="182">
        <v>4.4000000000000004</v>
      </c>
      <c r="R82" s="182">
        <v>7.1</v>
      </c>
      <c r="S82" s="183" t="s">
        <v>754</v>
      </c>
      <c r="T82" s="183">
        <v>-2.2999999999999998</v>
      </c>
      <c r="U82" s="183" t="s">
        <v>754</v>
      </c>
      <c r="V82" s="183">
        <v>-2.5</v>
      </c>
      <c r="W82" s="185" t="s">
        <v>775</v>
      </c>
      <c r="X82" s="177"/>
      <c r="Y82" s="177"/>
      <c r="Z82" s="177"/>
      <c r="AA82" s="177"/>
      <c r="AB82" s="183">
        <v>21</v>
      </c>
      <c r="AC82" s="173" t="s">
        <v>744</v>
      </c>
      <c r="AD82" s="177"/>
      <c r="AE82" s="177">
        <v>0.6</v>
      </c>
      <c r="AF82" s="173" t="s">
        <v>744</v>
      </c>
      <c r="AG82" s="183"/>
      <c r="AH82" s="183">
        <v>2</v>
      </c>
      <c r="AI82" s="184">
        <v>18.411899999999999</v>
      </c>
      <c r="AJ82" s="176">
        <v>8</v>
      </c>
      <c r="AK82" s="176"/>
      <c r="AL82" s="182">
        <f t="shared" si="11"/>
        <v>35.9</v>
      </c>
      <c r="AM82" s="185" t="s">
        <v>10</v>
      </c>
      <c r="AN82" s="183" t="s">
        <v>999</v>
      </c>
      <c r="AO82" s="183" t="s">
        <v>545</v>
      </c>
      <c r="AP82" s="186">
        <f t="shared" si="10"/>
        <v>0.66666666666666663</v>
      </c>
      <c r="AQ82" s="187">
        <v>3</v>
      </c>
      <c r="AR82" s="188" t="str">
        <f t="shared" si="6"/>
        <v>６年累積</v>
      </c>
      <c r="AS82" s="188">
        <f t="shared" si="7"/>
        <v>0</v>
      </c>
      <c r="AT82" s="188">
        <f t="shared" si="7"/>
        <v>0.6</v>
      </c>
      <c r="AU82" s="188">
        <f t="shared" si="8"/>
        <v>2</v>
      </c>
      <c r="AV82" s="188">
        <f t="shared" si="9"/>
        <v>2.6</v>
      </c>
    </row>
    <row r="83" spans="1:48">
      <c r="A83" s="176">
        <v>410</v>
      </c>
      <c r="B83" s="180"/>
      <c r="C83" s="176" t="s">
        <v>893</v>
      </c>
      <c r="D83" s="176" t="s">
        <v>132</v>
      </c>
      <c r="E83" s="176" t="s">
        <v>1026</v>
      </c>
      <c r="F83" s="176" t="s">
        <v>895</v>
      </c>
      <c r="G83" s="176" t="s">
        <v>9</v>
      </c>
      <c r="H83" s="176" t="s">
        <v>31</v>
      </c>
      <c r="I83" s="176" t="s">
        <v>64</v>
      </c>
      <c r="J83" s="176" t="s">
        <v>54</v>
      </c>
      <c r="K83" s="176" t="s">
        <v>270</v>
      </c>
      <c r="L83" s="177"/>
      <c r="M83" s="177"/>
      <c r="N83" s="177"/>
      <c r="O83" s="177"/>
      <c r="P83" s="176"/>
      <c r="Q83" s="182">
        <v>13.3</v>
      </c>
      <c r="R83" s="182">
        <v>7.6</v>
      </c>
      <c r="S83" s="182">
        <v>-5.5</v>
      </c>
      <c r="T83" s="182" t="s">
        <v>770</v>
      </c>
      <c r="U83" s="177"/>
      <c r="V83" s="183" t="s">
        <v>770</v>
      </c>
      <c r="W83" s="173"/>
      <c r="X83" s="177"/>
      <c r="Y83" s="177"/>
      <c r="Z83" s="177"/>
      <c r="AA83" s="177"/>
      <c r="AB83" s="177"/>
      <c r="AC83" s="177"/>
      <c r="AD83" s="177"/>
      <c r="AE83" s="177"/>
      <c r="AF83" s="183"/>
      <c r="AG83" s="183"/>
      <c r="AH83" s="183"/>
      <c r="AI83" s="184">
        <v>3.6211000000000002</v>
      </c>
      <c r="AJ83" s="176">
        <v>59</v>
      </c>
      <c r="AK83" s="176" t="s">
        <v>1027</v>
      </c>
      <c r="AL83" s="182"/>
      <c r="AM83" s="185"/>
      <c r="AN83" s="183"/>
      <c r="AO83" s="183"/>
      <c r="AP83" s="186"/>
      <c r="AQ83" s="187"/>
      <c r="AR83" s="188">
        <f t="shared" si="6"/>
        <v>0</v>
      </c>
      <c r="AS83" s="188">
        <f t="shared" si="7"/>
        <v>0</v>
      </c>
      <c r="AT83" s="188">
        <f t="shared" si="7"/>
        <v>0</v>
      </c>
      <c r="AU83" s="188">
        <f t="shared" si="8"/>
        <v>0</v>
      </c>
      <c r="AV83" s="188">
        <f t="shared" si="9"/>
        <v>0</v>
      </c>
    </row>
    <row r="84" spans="1:48">
      <c r="A84" s="176">
        <v>411</v>
      </c>
      <c r="B84" s="180"/>
      <c r="C84" s="176" t="s">
        <v>897</v>
      </c>
      <c r="D84" s="176" t="s">
        <v>132</v>
      </c>
      <c r="E84" s="176" t="s">
        <v>1028</v>
      </c>
      <c r="F84" s="176" t="s">
        <v>148</v>
      </c>
      <c r="G84" s="176" t="s">
        <v>9</v>
      </c>
      <c r="H84" s="176" t="s">
        <v>10</v>
      </c>
      <c r="I84" s="176" t="s">
        <v>64</v>
      </c>
      <c r="J84" s="176" t="s">
        <v>54</v>
      </c>
      <c r="K84" s="176" t="s">
        <v>270</v>
      </c>
      <c r="L84" s="177"/>
      <c r="M84" s="181"/>
      <c r="N84" s="183" t="s">
        <v>754</v>
      </c>
      <c r="O84" s="183">
        <v>218.7</v>
      </c>
      <c r="P84" s="182">
        <v>101</v>
      </c>
      <c r="Q84" s="182">
        <v>38.4</v>
      </c>
      <c r="R84" s="182">
        <v>11.1</v>
      </c>
      <c r="S84" s="182">
        <v>10.8</v>
      </c>
      <c r="T84" s="182">
        <v>47.7</v>
      </c>
      <c r="U84" s="182">
        <v>22.1</v>
      </c>
      <c r="V84" s="182" t="s">
        <v>47</v>
      </c>
      <c r="W84" s="183" t="s">
        <v>95</v>
      </c>
      <c r="X84" s="177"/>
      <c r="Y84" s="177"/>
      <c r="Z84" s="177"/>
      <c r="AA84" s="177"/>
      <c r="AB84" s="177"/>
      <c r="AC84" s="177"/>
      <c r="AD84" s="177"/>
      <c r="AE84" s="177"/>
      <c r="AF84" s="183"/>
      <c r="AG84" s="183"/>
      <c r="AH84" s="183">
        <v>223</v>
      </c>
      <c r="AI84" s="184">
        <v>3.609</v>
      </c>
      <c r="AJ84" s="176">
        <v>8</v>
      </c>
      <c r="AK84" s="176" t="s">
        <v>899</v>
      </c>
      <c r="AL84" s="182">
        <f>SUM(V84:AH84)</f>
        <v>223</v>
      </c>
      <c r="AM84" s="185" t="s">
        <v>614</v>
      </c>
      <c r="AN84" s="183" t="s">
        <v>999</v>
      </c>
      <c r="AO84" s="183" t="s">
        <v>545</v>
      </c>
      <c r="AP84" s="186">
        <f t="shared" si="10"/>
        <v>18.583333333333332</v>
      </c>
      <c r="AQ84" s="187">
        <v>12</v>
      </c>
      <c r="AR84" s="188" t="str">
        <f t="shared" si="6"/>
        <v>12年累積</v>
      </c>
      <c r="AS84" s="188">
        <f t="shared" si="7"/>
        <v>0</v>
      </c>
      <c r="AT84" s="188">
        <f t="shared" si="7"/>
        <v>0</v>
      </c>
      <c r="AU84" s="188">
        <f t="shared" si="8"/>
        <v>223</v>
      </c>
      <c r="AV84" s="188">
        <f t="shared" si="9"/>
        <v>223</v>
      </c>
    </row>
    <row r="85" spans="1:48">
      <c r="A85" s="176">
        <v>412</v>
      </c>
      <c r="B85" s="180"/>
      <c r="C85" s="176" t="s">
        <v>900</v>
      </c>
      <c r="D85" s="176" t="s">
        <v>132</v>
      </c>
      <c r="E85" s="176" t="s">
        <v>1029</v>
      </c>
      <c r="F85" s="176" t="s">
        <v>902</v>
      </c>
      <c r="G85" s="176" t="s">
        <v>9</v>
      </c>
      <c r="H85" s="176" t="s">
        <v>10</v>
      </c>
      <c r="I85" s="176" t="s">
        <v>64</v>
      </c>
      <c r="J85" s="176" t="s">
        <v>54</v>
      </c>
      <c r="K85" s="176" t="s">
        <v>270</v>
      </c>
      <c r="L85" s="177"/>
      <c r="M85" s="181"/>
      <c r="N85" s="183" t="s">
        <v>754</v>
      </c>
      <c r="O85" s="183">
        <v>53.9</v>
      </c>
      <c r="P85" s="182">
        <v>41.4</v>
      </c>
      <c r="Q85" s="182">
        <v>22.4</v>
      </c>
      <c r="R85" s="182">
        <v>10.199999999999999</v>
      </c>
      <c r="S85" s="182">
        <v>7.1</v>
      </c>
      <c r="T85" s="182" t="s">
        <v>770</v>
      </c>
      <c r="U85" s="182" t="s">
        <v>770</v>
      </c>
      <c r="V85" s="182">
        <v>54.5</v>
      </c>
      <c r="W85" s="183" t="s">
        <v>775</v>
      </c>
      <c r="X85" s="177"/>
      <c r="Y85" s="177"/>
      <c r="Z85" s="177"/>
      <c r="AA85" s="177"/>
      <c r="AB85" s="183">
        <v>135.1</v>
      </c>
      <c r="AC85" s="173" t="s">
        <v>744</v>
      </c>
      <c r="AD85" s="177"/>
      <c r="AE85" s="177">
        <v>50.2</v>
      </c>
      <c r="AF85" s="185"/>
      <c r="AG85" s="183"/>
      <c r="AH85" s="183"/>
      <c r="AI85" s="184">
        <v>4.8661000000000003</v>
      </c>
      <c r="AJ85" s="176">
        <v>5</v>
      </c>
      <c r="AK85" s="176" t="s">
        <v>1030</v>
      </c>
      <c r="AL85" s="182">
        <f>SUM(L85:AH85)</f>
        <v>374.8</v>
      </c>
      <c r="AM85" s="185" t="s">
        <v>10</v>
      </c>
      <c r="AN85" s="183" t="s">
        <v>999</v>
      </c>
      <c r="AO85" s="183" t="s">
        <v>1031</v>
      </c>
      <c r="AP85" s="186"/>
      <c r="AQ85" s="187"/>
      <c r="AR85" s="188" t="str">
        <f t="shared" si="6"/>
        <v>６年累積</v>
      </c>
      <c r="AS85" s="188">
        <f t="shared" si="7"/>
        <v>0</v>
      </c>
      <c r="AT85" s="188">
        <f t="shared" si="7"/>
        <v>50.2</v>
      </c>
      <c r="AU85" s="188">
        <f t="shared" si="8"/>
        <v>0</v>
      </c>
      <c r="AV85" s="188">
        <f t="shared" si="9"/>
        <v>50.2</v>
      </c>
    </row>
    <row r="86" spans="1:48">
      <c r="A86" s="176">
        <v>413</v>
      </c>
      <c r="B86" s="180"/>
      <c r="C86" s="176" t="s">
        <v>904</v>
      </c>
      <c r="D86" s="176" t="s">
        <v>132</v>
      </c>
      <c r="E86" s="176" t="s">
        <v>239</v>
      </c>
      <c r="F86" s="176" t="s">
        <v>149</v>
      </c>
      <c r="G86" s="176" t="s">
        <v>9</v>
      </c>
      <c r="H86" s="176" t="s">
        <v>31</v>
      </c>
      <c r="I86" s="176" t="s">
        <v>64</v>
      </c>
      <c r="J86" s="176" t="s">
        <v>54</v>
      </c>
      <c r="K86" s="176" t="s">
        <v>270</v>
      </c>
      <c r="L86" s="177"/>
      <c r="M86" s="177"/>
      <c r="N86" s="177"/>
      <c r="O86" s="177"/>
      <c r="P86" s="177"/>
      <c r="Q86" s="182">
        <v>85.6</v>
      </c>
      <c r="R86" s="182">
        <v>20.8</v>
      </c>
      <c r="S86" s="182" t="s">
        <v>47</v>
      </c>
      <c r="T86" s="182">
        <v>36.9</v>
      </c>
      <c r="U86" s="182">
        <v>19.899999999999999</v>
      </c>
      <c r="V86" s="182">
        <v>21.6</v>
      </c>
      <c r="W86" s="183" t="s">
        <v>95</v>
      </c>
      <c r="X86" s="177"/>
      <c r="Y86" s="177"/>
      <c r="Z86" s="177"/>
      <c r="AA86" s="177"/>
      <c r="AB86" s="177"/>
      <c r="AC86" s="177"/>
      <c r="AD86" s="177"/>
      <c r="AE86" s="177"/>
      <c r="AF86" s="183"/>
      <c r="AG86" s="183"/>
      <c r="AH86" s="183">
        <v>369.5</v>
      </c>
      <c r="AI86" s="184">
        <v>4.8287000000000004</v>
      </c>
      <c r="AJ86" s="176">
        <v>8</v>
      </c>
      <c r="AK86" s="176" t="s">
        <v>906</v>
      </c>
      <c r="AL86" s="182">
        <f>SUM(T86:AH86)</f>
        <v>447.9</v>
      </c>
      <c r="AM86" s="185" t="s">
        <v>611</v>
      </c>
      <c r="AN86" s="183" t="s">
        <v>999</v>
      </c>
      <c r="AO86" s="183" t="s">
        <v>545</v>
      </c>
      <c r="AP86" s="186">
        <f t="shared" si="10"/>
        <v>30.791666666666668</v>
      </c>
      <c r="AQ86" s="187">
        <v>12</v>
      </c>
      <c r="AR86" s="188" t="str">
        <f t="shared" si="6"/>
        <v>12年累積</v>
      </c>
      <c r="AS86" s="188">
        <f t="shared" si="7"/>
        <v>0</v>
      </c>
      <c r="AT86" s="188">
        <f t="shared" si="7"/>
        <v>0</v>
      </c>
      <c r="AU86" s="188">
        <f t="shared" si="8"/>
        <v>369.5</v>
      </c>
      <c r="AV86" s="188">
        <f t="shared" si="9"/>
        <v>369.5</v>
      </c>
    </row>
    <row r="87" spans="1:48">
      <c r="A87" s="176">
        <v>414</v>
      </c>
      <c r="B87" s="180"/>
      <c r="C87" s="176" t="s">
        <v>907</v>
      </c>
      <c r="D87" s="176" t="s">
        <v>132</v>
      </c>
      <c r="E87" s="176" t="s">
        <v>238</v>
      </c>
      <c r="F87" s="176" t="s">
        <v>150</v>
      </c>
      <c r="G87" s="176" t="s">
        <v>9</v>
      </c>
      <c r="H87" s="176" t="s">
        <v>31</v>
      </c>
      <c r="I87" s="176" t="s">
        <v>64</v>
      </c>
      <c r="J87" s="176" t="s">
        <v>54</v>
      </c>
      <c r="K87" s="176" t="s">
        <v>270</v>
      </c>
      <c r="L87" s="177"/>
      <c r="M87" s="177"/>
      <c r="N87" s="177"/>
      <c r="O87" s="177"/>
      <c r="P87" s="177"/>
      <c r="Q87" s="182">
        <v>33.799999999999997</v>
      </c>
      <c r="R87" s="182">
        <v>32.1</v>
      </c>
      <c r="S87" s="182">
        <v>23.9</v>
      </c>
      <c r="T87" s="182">
        <v>40.4</v>
      </c>
      <c r="U87" s="182">
        <v>16.399999999999999</v>
      </c>
      <c r="V87" s="182">
        <v>21.4</v>
      </c>
      <c r="W87" s="183" t="s">
        <v>775</v>
      </c>
      <c r="X87" s="177"/>
      <c r="Y87" s="177"/>
      <c r="Z87" s="177"/>
      <c r="AA87" s="177"/>
      <c r="AB87" s="183">
        <v>128.4</v>
      </c>
      <c r="AC87" s="173" t="s">
        <v>744</v>
      </c>
      <c r="AD87" s="177"/>
      <c r="AE87" s="177" t="s">
        <v>770</v>
      </c>
      <c r="AF87" s="173" t="s">
        <v>744</v>
      </c>
      <c r="AG87" s="183"/>
      <c r="AH87" s="183" t="s">
        <v>770</v>
      </c>
      <c r="AI87" s="184">
        <v>7.0076000000000001</v>
      </c>
      <c r="AJ87" s="176">
        <v>8</v>
      </c>
      <c r="AK87" s="176" t="s">
        <v>1019</v>
      </c>
      <c r="AL87" s="182"/>
      <c r="AM87" s="185"/>
      <c r="AN87" s="183"/>
      <c r="AO87" s="183"/>
      <c r="AP87" s="186"/>
      <c r="AQ87" s="187"/>
      <c r="AR87" s="188" t="str">
        <f t="shared" si="6"/>
        <v>６年累積</v>
      </c>
      <c r="AS87" s="188">
        <f t="shared" si="7"/>
        <v>0</v>
      </c>
      <c r="AT87" s="188" t="str">
        <f t="shared" si="7"/>
        <v>A</v>
      </c>
      <c r="AU87" s="188" t="str">
        <f t="shared" si="8"/>
        <v>A</v>
      </c>
      <c r="AV87" s="188">
        <f t="shared" si="9"/>
        <v>0</v>
      </c>
    </row>
    <row r="88" spans="1:48">
      <c r="A88" s="176">
        <v>415</v>
      </c>
      <c r="B88" s="180"/>
      <c r="C88" s="176" t="s">
        <v>909</v>
      </c>
      <c r="D88" s="176" t="s">
        <v>132</v>
      </c>
      <c r="E88" s="176" t="s">
        <v>1032</v>
      </c>
      <c r="F88" s="176" t="s">
        <v>151</v>
      </c>
      <c r="G88" s="176" t="s">
        <v>9</v>
      </c>
      <c r="H88" s="176" t="s">
        <v>10</v>
      </c>
      <c r="I88" s="176" t="s">
        <v>64</v>
      </c>
      <c r="J88" s="176" t="s">
        <v>54</v>
      </c>
      <c r="K88" s="176" t="s">
        <v>270</v>
      </c>
      <c r="L88" s="177"/>
      <c r="M88" s="181"/>
      <c r="N88" s="183" t="s">
        <v>754</v>
      </c>
      <c r="O88" s="183">
        <v>39.200000000000003</v>
      </c>
      <c r="P88" s="182">
        <v>50.8</v>
      </c>
      <c r="Q88" s="182">
        <v>9.3000000000000007</v>
      </c>
      <c r="R88" s="182">
        <v>-2</v>
      </c>
      <c r="S88" s="182">
        <v>14.6</v>
      </c>
      <c r="T88" s="182">
        <v>26.4</v>
      </c>
      <c r="U88" s="182">
        <v>18.3</v>
      </c>
      <c r="V88" s="182">
        <v>51.4</v>
      </c>
      <c r="W88" s="183" t="s">
        <v>775</v>
      </c>
      <c r="X88" s="177"/>
      <c r="Y88" s="177"/>
      <c r="Z88" s="177"/>
      <c r="AA88" s="177"/>
      <c r="AB88" s="183">
        <v>54</v>
      </c>
      <c r="AC88" s="173" t="s">
        <v>744</v>
      </c>
      <c r="AD88" s="177"/>
      <c r="AE88" s="177">
        <v>31.9</v>
      </c>
      <c r="AF88" s="173" t="s">
        <v>744</v>
      </c>
      <c r="AG88" s="183"/>
      <c r="AH88" s="183">
        <v>27.8</v>
      </c>
      <c r="AI88" s="184">
        <v>5.7389000000000001</v>
      </c>
      <c r="AJ88" s="176">
        <v>8</v>
      </c>
      <c r="AK88" s="176"/>
      <c r="AL88" s="182">
        <f>SUM(L88:AH88)</f>
        <v>321.7</v>
      </c>
      <c r="AM88" s="185" t="s">
        <v>10</v>
      </c>
      <c r="AN88" s="183" t="s">
        <v>999</v>
      </c>
      <c r="AO88" s="183" t="s">
        <v>545</v>
      </c>
      <c r="AP88" s="186">
        <f t="shared" si="10"/>
        <v>9.2666666666666675</v>
      </c>
      <c r="AQ88" s="187">
        <v>3</v>
      </c>
      <c r="AR88" s="188" t="str">
        <f t="shared" si="6"/>
        <v>６年累積</v>
      </c>
      <c r="AS88" s="188">
        <f t="shared" si="7"/>
        <v>0</v>
      </c>
      <c r="AT88" s="188">
        <f t="shared" si="7"/>
        <v>31.9</v>
      </c>
      <c r="AU88" s="188">
        <f t="shared" si="8"/>
        <v>27.8</v>
      </c>
      <c r="AV88" s="188">
        <f t="shared" si="9"/>
        <v>59.7</v>
      </c>
    </row>
    <row r="89" spans="1:48">
      <c r="A89" s="176">
        <v>416</v>
      </c>
      <c r="B89" s="180"/>
      <c r="C89" s="176" t="s">
        <v>911</v>
      </c>
      <c r="D89" s="176" t="s">
        <v>132</v>
      </c>
      <c r="E89" s="176" t="s">
        <v>152</v>
      </c>
      <c r="F89" s="176" t="s">
        <v>153</v>
      </c>
      <c r="G89" s="176" t="s">
        <v>9</v>
      </c>
      <c r="H89" s="176" t="s">
        <v>10</v>
      </c>
      <c r="I89" s="176" t="s">
        <v>743</v>
      </c>
      <c r="J89" s="176" t="s">
        <v>54</v>
      </c>
      <c r="K89" s="176" t="s">
        <v>270</v>
      </c>
      <c r="L89" s="177"/>
      <c r="M89" s="181"/>
      <c r="N89" s="183" t="s">
        <v>754</v>
      </c>
      <c r="O89" s="183">
        <v>79.599999999999994</v>
      </c>
      <c r="P89" s="182">
        <v>30.9</v>
      </c>
      <c r="Q89" s="182">
        <v>38.6</v>
      </c>
      <c r="R89" s="182">
        <v>43.8</v>
      </c>
      <c r="S89" s="182">
        <v>2.1</v>
      </c>
      <c r="T89" s="182">
        <v>37.200000000000003</v>
      </c>
      <c r="U89" s="182">
        <v>21</v>
      </c>
      <c r="V89" s="182">
        <v>63.5</v>
      </c>
      <c r="W89" s="183" t="s">
        <v>744</v>
      </c>
      <c r="X89" s="177"/>
      <c r="Y89" s="183">
        <v>30.5</v>
      </c>
      <c r="Z89" s="173" t="s">
        <v>744</v>
      </c>
      <c r="AA89" s="177"/>
      <c r="AB89" s="183">
        <v>43.9</v>
      </c>
      <c r="AC89" s="173" t="s">
        <v>744</v>
      </c>
      <c r="AD89" s="177"/>
      <c r="AE89" s="177">
        <v>12.3</v>
      </c>
      <c r="AF89" s="173" t="s">
        <v>744</v>
      </c>
      <c r="AG89" s="183"/>
      <c r="AH89" s="183">
        <v>9.1999999999999993</v>
      </c>
      <c r="AI89" s="184">
        <v>9.5032999999999994</v>
      </c>
      <c r="AJ89" s="176">
        <v>8</v>
      </c>
      <c r="AK89" s="176"/>
      <c r="AL89" s="182">
        <f>SUM(L89:AH89)</f>
        <v>412.59999999999997</v>
      </c>
      <c r="AM89" s="185" t="s">
        <v>10</v>
      </c>
      <c r="AN89" s="183" t="s">
        <v>999</v>
      </c>
      <c r="AO89" s="183" t="s">
        <v>545</v>
      </c>
      <c r="AP89" s="186">
        <f t="shared" si="10"/>
        <v>3.0666666666666664</v>
      </c>
      <c r="AQ89" s="187">
        <v>3</v>
      </c>
      <c r="AR89" s="188" t="str">
        <f t="shared" si="6"/>
        <v>３年累積</v>
      </c>
      <c r="AS89" s="188">
        <f t="shared" si="7"/>
        <v>0</v>
      </c>
      <c r="AT89" s="188">
        <f t="shared" si="7"/>
        <v>12.3</v>
      </c>
      <c r="AU89" s="188">
        <f t="shared" si="8"/>
        <v>9.1999999999999993</v>
      </c>
      <c r="AV89" s="188">
        <f t="shared" si="9"/>
        <v>21.5</v>
      </c>
    </row>
    <row r="90" spans="1:48">
      <c r="A90" s="176">
        <v>417</v>
      </c>
      <c r="B90" s="180"/>
      <c r="C90" s="176" t="s">
        <v>912</v>
      </c>
      <c r="D90" s="176" t="s">
        <v>132</v>
      </c>
      <c r="E90" s="176" t="s">
        <v>154</v>
      </c>
      <c r="F90" s="176" t="s">
        <v>155</v>
      </c>
      <c r="G90" s="176" t="s">
        <v>9</v>
      </c>
      <c r="H90" s="176" t="s">
        <v>10</v>
      </c>
      <c r="I90" s="176" t="s">
        <v>743</v>
      </c>
      <c r="J90" s="176" t="s">
        <v>54</v>
      </c>
      <c r="K90" s="176" t="s">
        <v>270</v>
      </c>
      <c r="L90" s="177"/>
      <c r="M90" s="181"/>
      <c r="N90" s="183" t="s">
        <v>754</v>
      </c>
      <c r="O90" s="183">
        <v>34.200000000000003</v>
      </c>
      <c r="P90" s="182">
        <v>36.4</v>
      </c>
      <c r="Q90" s="182">
        <v>8.4</v>
      </c>
      <c r="R90" s="182">
        <v>28.8</v>
      </c>
      <c r="S90" s="182">
        <v>32.299999999999997</v>
      </c>
      <c r="T90" s="182">
        <v>25</v>
      </c>
      <c r="U90" s="182" t="s">
        <v>47</v>
      </c>
      <c r="V90" s="182">
        <v>8.5</v>
      </c>
      <c r="W90" s="183" t="s">
        <v>775</v>
      </c>
      <c r="X90" s="177"/>
      <c r="Y90" s="177"/>
      <c r="Z90" s="177"/>
      <c r="AA90" s="177"/>
      <c r="AB90" s="183">
        <v>48.7</v>
      </c>
      <c r="AC90" s="173" t="s">
        <v>744</v>
      </c>
      <c r="AD90" s="177"/>
      <c r="AE90" s="177">
        <v>21.5</v>
      </c>
      <c r="AF90" s="173" t="s">
        <v>744</v>
      </c>
      <c r="AG90" s="183"/>
      <c r="AH90" s="183">
        <v>16.899999999999999</v>
      </c>
      <c r="AI90" s="184">
        <v>7.3992000000000004</v>
      </c>
      <c r="AJ90" s="176">
        <v>8</v>
      </c>
      <c r="AK90" s="176" t="s">
        <v>913</v>
      </c>
      <c r="AL90" s="182">
        <f>SUM(V90:AH90)</f>
        <v>95.6</v>
      </c>
      <c r="AM90" s="185" t="s">
        <v>613</v>
      </c>
      <c r="AN90" s="183" t="s">
        <v>999</v>
      </c>
      <c r="AO90" s="183" t="s">
        <v>545</v>
      </c>
      <c r="AP90" s="186">
        <f t="shared" si="10"/>
        <v>5.6333333333333329</v>
      </c>
      <c r="AQ90" s="187">
        <v>3</v>
      </c>
      <c r="AR90" s="188" t="str">
        <f t="shared" si="6"/>
        <v>６年累積</v>
      </c>
      <c r="AS90" s="188">
        <f t="shared" si="7"/>
        <v>0</v>
      </c>
      <c r="AT90" s="188">
        <f t="shared" si="7"/>
        <v>21.5</v>
      </c>
      <c r="AU90" s="188">
        <f t="shared" si="8"/>
        <v>16.899999999999999</v>
      </c>
      <c r="AV90" s="188">
        <f t="shared" si="9"/>
        <v>38.4</v>
      </c>
    </row>
    <row r="91" spans="1:48">
      <c r="A91" s="176">
        <v>501</v>
      </c>
      <c r="B91" s="180"/>
      <c r="C91" s="176" t="s">
        <v>914</v>
      </c>
      <c r="D91" s="176" t="s">
        <v>156</v>
      </c>
      <c r="E91" s="176" t="s">
        <v>1033</v>
      </c>
      <c r="F91" s="176" t="s">
        <v>157</v>
      </c>
      <c r="G91" s="176" t="s">
        <v>12</v>
      </c>
      <c r="H91" s="176" t="s">
        <v>31</v>
      </c>
      <c r="I91" s="176" t="s">
        <v>743</v>
      </c>
      <c r="J91" s="176" t="s">
        <v>1011</v>
      </c>
      <c r="K91" s="176" t="s">
        <v>263</v>
      </c>
      <c r="L91" s="177"/>
      <c r="M91" s="177"/>
      <c r="N91" s="177"/>
      <c r="O91" s="177"/>
      <c r="P91" s="177"/>
      <c r="Q91" s="182">
        <v>7.4</v>
      </c>
      <c r="R91" s="182">
        <v>0.6</v>
      </c>
      <c r="S91" s="183" t="s">
        <v>754</v>
      </c>
      <c r="T91" s="183">
        <v>1.8</v>
      </c>
      <c r="U91" s="173"/>
      <c r="V91" s="177"/>
      <c r="W91" s="177"/>
      <c r="X91" s="177"/>
      <c r="Y91" s="177"/>
      <c r="Z91" s="177"/>
      <c r="AA91" s="182" t="s">
        <v>47</v>
      </c>
      <c r="AB91" s="185" t="s">
        <v>1034</v>
      </c>
      <c r="AC91" s="177"/>
      <c r="AD91" s="177"/>
      <c r="AE91" s="177"/>
      <c r="AF91" s="183"/>
      <c r="AG91" s="183"/>
      <c r="AH91" s="183">
        <v>3.5</v>
      </c>
      <c r="AI91" s="184">
        <v>64.021199999999993</v>
      </c>
      <c r="AJ91" s="176">
        <v>8</v>
      </c>
      <c r="AK91" s="176" t="s">
        <v>916</v>
      </c>
      <c r="AL91" s="182">
        <f>SUM(AH91)</f>
        <v>3.5</v>
      </c>
      <c r="AM91" s="185" t="s">
        <v>619</v>
      </c>
      <c r="AN91" s="183" t="s">
        <v>999</v>
      </c>
      <c r="AO91" s="183" t="s">
        <v>545</v>
      </c>
      <c r="AP91" s="186">
        <f t="shared" si="10"/>
        <v>0.58333333333333337</v>
      </c>
      <c r="AQ91" s="187">
        <v>6</v>
      </c>
      <c r="AR91" s="188">
        <f t="shared" si="6"/>
        <v>0</v>
      </c>
      <c r="AS91" s="188">
        <f t="shared" si="7"/>
        <v>0</v>
      </c>
      <c r="AT91" s="188">
        <f t="shared" si="7"/>
        <v>0</v>
      </c>
      <c r="AU91" s="188">
        <f t="shared" si="8"/>
        <v>3.5</v>
      </c>
      <c r="AV91" s="188">
        <f t="shared" si="9"/>
        <v>3.5</v>
      </c>
    </row>
    <row r="92" spans="1:48">
      <c r="A92" s="176">
        <v>502</v>
      </c>
      <c r="B92" s="180"/>
      <c r="C92" s="176" t="s">
        <v>917</v>
      </c>
      <c r="D92" s="176" t="s">
        <v>156</v>
      </c>
      <c r="E92" s="176" t="s">
        <v>158</v>
      </c>
      <c r="F92" s="176" t="s">
        <v>159</v>
      </c>
      <c r="G92" s="176" t="s">
        <v>12</v>
      </c>
      <c r="H92" s="176" t="s">
        <v>31</v>
      </c>
      <c r="I92" s="176" t="s">
        <v>743</v>
      </c>
      <c r="J92" s="176" t="s">
        <v>1011</v>
      </c>
      <c r="K92" s="176" t="s">
        <v>263</v>
      </c>
      <c r="L92" s="177"/>
      <c r="M92" s="177"/>
      <c r="N92" s="177"/>
      <c r="O92" s="177"/>
      <c r="P92" s="177"/>
      <c r="Q92" s="182">
        <v>4.9000000000000004</v>
      </c>
      <c r="R92" s="182">
        <v>-4.7</v>
      </c>
      <c r="S92" s="183" t="s">
        <v>754</v>
      </c>
      <c r="T92" s="183">
        <v>3.3</v>
      </c>
      <c r="U92" s="185" t="s">
        <v>759</v>
      </c>
      <c r="V92" s="177"/>
      <c r="W92" s="177"/>
      <c r="X92" s="177"/>
      <c r="Y92" s="177"/>
      <c r="Z92" s="177"/>
      <c r="AA92" s="177"/>
      <c r="AB92" s="189">
        <v>9.3000000000000007</v>
      </c>
      <c r="AC92" s="173" t="s">
        <v>775</v>
      </c>
      <c r="AD92" s="177"/>
      <c r="AE92" s="177"/>
      <c r="AF92" s="183"/>
      <c r="AG92" s="183"/>
      <c r="AH92" s="183">
        <v>-2.9</v>
      </c>
      <c r="AI92" s="184">
        <v>52.317500000000003</v>
      </c>
      <c r="AJ92" s="176">
        <v>8</v>
      </c>
      <c r="AK92" s="176"/>
      <c r="AL92" s="182">
        <f>SUM(L92:AH92)</f>
        <v>9.9</v>
      </c>
      <c r="AM92" s="185" t="s">
        <v>31</v>
      </c>
      <c r="AN92" s="183" t="s">
        <v>999</v>
      </c>
      <c r="AO92" s="183" t="s">
        <v>545</v>
      </c>
      <c r="AP92" s="186">
        <f t="shared" si="10"/>
        <v>-0.48333333333333334</v>
      </c>
      <c r="AQ92" s="187">
        <v>6</v>
      </c>
      <c r="AR92" s="188">
        <f t="shared" si="6"/>
        <v>0</v>
      </c>
      <c r="AS92" s="188">
        <f t="shared" si="7"/>
        <v>0</v>
      </c>
      <c r="AT92" s="188">
        <f t="shared" si="7"/>
        <v>0</v>
      </c>
      <c r="AU92" s="188">
        <f t="shared" si="8"/>
        <v>-2.9</v>
      </c>
      <c r="AV92" s="188">
        <f t="shared" si="9"/>
        <v>-2.9</v>
      </c>
    </row>
    <row r="93" spans="1:48">
      <c r="A93" s="176">
        <v>503</v>
      </c>
      <c r="B93" s="180"/>
      <c r="C93" s="176" t="s">
        <v>918</v>
      </c>
      <c r="D93" s="176" t="s">
        <v>156</v>
      </c>
      <c r="E93" s="176" t="s">
        <v>160</v>
      </c>
      <c r="F93" s="176" t="s">
        <v>161</v>
      </c>
      <c r="G93" s="176" t="s">
        <v>12</v>
      </c>
      <c r="H93" s="176" t="s">
        <v>31</v>
      </c>
      <c r="I93" s="176" t="s">
        <v>743</v>
      </c>
      <c r="J93" s="176" t="s">
        <v>1011</v>
      </c>
      <c r="K93" s="176" t="s">
        <v>263</v>
      </c>
      <c r="L93" s="177"/>
      <c r="M93" s="177"/>
      <c r="N93" s="177"/>
      <c r="O93" s="177"/>
      <c r="P93" s="177"/>
      <c r="Q93" s="182">
        <v>3.7</v>
      </c>
      <c r="R93" s="182">
        <v>-0.3</v>
      </c>
      <c r="S93" s="183" t="s">
        <v>754</v>
      </c>
      <c r="T93" s="183">
        <v>0.5</v>
      </c>
      <c r="U93" s="185" t="s">
        <v>756</v>
      </c>
      <c r="V93" s="177"/>
      <c r="W93" s="177"/>
      <c r="X93" s="183">
        <v>2.9</v>
      </c>
      <c r="Y93" s="185" t="s">
        <v>756</v>
      </c>
      <c r="Z93" s="177"/>
      <c r="AA93" s="177"/>
      <c r="AB93" s="183">
        <v>11.5</v>
      </c>
      <c r="AC93" s="173" t="s">
        <v>744</v>
      </c>
      <c r="AD93" s="177"/>
      <c r="AE93" s="177">
        <v>-2.1</v>
      </c>
      <c r="AF93" s="173" t="s">
        <v>744</v>
      </c>
      <c r="AG93" s="183"/>
      <c r="AH93" s="183">
        <v>-0.3</v>
      </c>
      <c r="AI93" s="184">
        <v>34.684100000000001</v>
      </c>
      <c r="AJ93" s="176">
        <v>8</v>
      </c>
      <c r="AK93" s="176" t="s">
        <v>919</v>
      </c>
      <c r="AL93" s="182">
        <f>SUM(L93:AH93)</f>
        <v>15.899999999999999</v>
      </c>
      <c r="AM93" s="185" t="s">
        <v>31</v>
      </c>
      <c r="AN93" s="183" t="s">
        <v>999</v>
      </c>
      <c r="AO93" s="183" t="s">
        <v>545</v>
      </c>
      <c r="AP93" s="186">
        <f t="shared" si="10"/>
        <v>-9.9999999999999992E-2</v>
      </c>
      <c r="AQ93" s="187">
        <v>3</v>
      </c>
      <c r="AR93" s="188">
        <f t="shared" si="6"/>
        <v>0</v>
      </c>
      <c r="AS93" s="188">
        <f t="shared" si="7"/>
        <v>0</v>
      </c>
      <c r="AT93" s="188">
        <f t="shared" si="7"/>
        <v>-2.1</v>
      </c>
      <c r="AU93" s="188">
        <f t="shared" si="8"/>
        <v>-0.3</v>
      </c>
      <c r="AV93" s="188">
        <f t="shared" si="9"/>
        <v>-2.4</v>
      </c>
    </row>
    <row r="94" spans="1:48">
      <c r="A94" s="176">
        <v>504</v>
      </c>
      <c r="B94" s="180"/>
      <c r="C94" s="176" t="s">
        <v>920</v>
      </c>
      <c r="D94" s="176" t="s">
        <v>156</v>
      </c>
      <c r="E94" s="176" t="s">
        <v>162</v>
      </c>
      <c r="F94" s="176" t="s">
        <v>163</v>
      </c>
      <c r="G94" s="176" t="s">
        <v>9</v>
      </c>
      <c r="H94" s="176" t="s">
        <v>10</v>
      </c>
      <c r="I94" s="176" t="s">
        <v>743</v>
      </c>
      <c r="J94" s="176" t="s">
        <v>281</v>
      </c>
      <c r="K94" s="176" t="s">
        <v>1023</v>
      </c>
      <c r="L94" s="177"/>
      <c r="M94" s="181"/>
      <c r="N94" s="183" t="s">
        <v>744</v>
      </c>
      <c r="O94" s="177"/>
      <c r="P94" s="183">
        <v>2</v>
      </c>
      <c r="Q94" s="182">
        <v>9.1999999999999993</v>
      </c>
      <c r="R94" s="182">
        <v>1.8</v>
      </c>
      <c r="S94" s="183" t="s">
        <v>754</v>
      </c>
      <c r="T94" s="183">
        <v>7</v>
      </c>
      <c r="U94" s="185" t="s">
        <v>759</v>
      </c>
      <c r="V94" s="177"/>
      <c r="W94" s="177"/>
      <c r="X94" s="177"/>
      <c r="Y94" s="177"/>
      <c r="Z94" s="177"/>
      <c r="AA94" s="177"/>
      <c r="AB94" s="183">
        <v>10.7</v>
      </c>
      <c r="AC94" s="173" t="s">
        <v>744</v>
      </c>
      <c r="AD94" s="177"/>
      <c r="AE94" s="177">
        <v>1.8</v>
      </c>
      <c r="AF94" s="173" t="s">
        <v>744</v>
      </c>
      <c r="AG94" s="183"/>
      <c r="AH94" s="183">
        <v>1.4</v>
      </c>
      <c r="AI94" s="184">
        <v>54.016599999999997</v>
      </c>
      <c r="AJ94" s="176">
        <v>8</v>
      </c>
      <c r="AK94" s="176"/>
      <c r="AL94" s="182">
        <f>SUM(L94:AH94)</f>
        <v>33.9</v>
      </c>
      <c r="AM94" s="185" t="s">
        <v>10</v>
      </c>
      <c r="AN94" s="183" t="s">
        <v>999</v>
      </c>
      <c r="AO94" s="183" t="s">
        <v>545</v>
      </c>
      <c r="AP94" s="186">
        <f t="shared" si="10"/>
        <v>0.46666666666666662</v>
      </c>
      <c r="AQ94" s="187">
        <v>3</v>
      </c>
      <c r="AR94" s="188">
        <f t="shared" si="6"/>
        <v>0</v>
      </c>
      <c r="AS94" s="188">
        <f t="shared" si="7"/>
        <v>0</v>
      </c>
      <c r="AT94" s="188">
        <f t="shared" si="7"/>
        <v>1.8</v>
      </c>
      <c r="AU94" s="188">
        <f t="shared" si="8"/>
        <v>1.4</v>
      </c>
      <c r="AV94" s="188">
        <f t="shared" si="9"/>
        <v>3.2</v>
      </c>
    </row>
    <row r="95" spans="1:48">
      <c r="A95" s="176">
        <v>505</v>
      </c>
      <c r="B95" s="180"/>
      <c r="C95" s="176" t="s">
        <v>922</v>
      </c>
      <c r="D95" s="176" t="s">
        <v>156</v>
      </c>
      <c r="E95" s="176" t="s">
        <v>164</v>
      </c>
      <c r="F95" s="176" t="s">
        <v>165</v>
      </c>
      <c r="G95" s="176" t="s">
        <v>9</v>
      </c>
      <c r="H95" s="176" t="s">
        <v>10</v>
      </c>
      <c r="I95" s="176" t="s">
        <v>743</v>
      </c>
      <c r="J95" s="176" t="s">
        <v>1011</v>
      </c>
      <c r="K95" s="176" t="s">
        <v>263</v>
      </c>
      <c r="L95" s="177"/>
      <c r="M95" s="181"/>
      <c r="N95" s="183" t="s">
        <v>744</v>
      </c>
      <c r="O95" s="177"/>
      <c r="P95" s="183">
        <v>6.6</v>
      </c>
      <c r="Q95" s="182">
        <v>6.4</v>
      </c>
      <c r="R95" s="182">
        <v>2.5</v>
      </c>
      <c r="S95" s="183" t="s">
        <v>754</v>
      </c>
      <c r="T95" s="183">
        <v>1.5</v>
      </c>
      <c r="U95" s="185" t="s">
        <v>759</v>
      </c>
      <c r="V95" s="177"/>
      <c r="W95" s="177"/>
      <c r="X95" s="177"/>
      <c r="Y95" s="177"/>
      <c r="Z95" s="177"/>
      <c r="AA95" s="177"/>
      <c r="AB95" s="183">
        <v>13.1</v>
      </c>
      <c r="AC95" s="173" t="s">
        <v>744</v>
      </c>
      <c r="AD95" s="177"/>
      <c r="AE95" s="177">
        <v>2.7</v>
      </c>
      <c r="AF95" s="173" t="s">
        <v>744</v>
      </c>
      <c r="AG95" s="183"/>
      <c r="AH95" s="183">
        <v>0.6</v>
      </c>
      <c r="AI95" s="184">
        <v>35.902900000000002</v>
      </c>
      <c r="AJ95" s="176">
        <v>8</v>
      </c>
      <c r="AK95" s="176"/>
      <c r="AL95" s="182">
        <f>SUM(L95:AH95)</f>
        <v>33.400000000000006</v>
      </c>
      <c r="AM95" s="185" t="s">
        <v>10</v>
      </c>
      <c r="AN95" s="183" t="s">
        <v>999</v>
      </c>
      <c r="AO95" s="183" t="s">
        <v>545</v>
      </c>
      <c r="AP95" s="186">
        <f t="shared" si="10"/>
        <v>0.19999999999999998</v>
      </c>
      <c r="AQ95" s="187">
        <v>3</v>
      </c>
      <c r="AR95" s="188">
        <f t="shared" si="6"/>
        <v>0</v>
      </c>
      <c r="AS95" s="188">
        <f t="shared" si="7"/>
        <v>0</v>
      </c>
      <c r="AT95" s="188">
        <f t="shared" si="7"/>
        <v>2.7</v>
      </c>
      <c r="AU95" s="188">
        <f t="shared" si="8"/>
        <v>0.6</v>
      </c>
      <c r="AV95" s="188">
        <f t="shared" si="9"/>
        <v>3.3000000000000003</v>
      </c>
    </row>
    <row r="96" spans="1:48">
      <c r="A96" s="176">
        <v>506</v>
      </c>
      <c r="B96" s="180"/>
      <c r="C96" s="176" t="s">
        <v>923</v>
      </c>
      <c r="D96" s="176" t="s">
        <v>156</v>
      </c>
      <c r="E96" s="176" t="s">
        <v>166</v>
      </c>
      <c r="F96" s="176" t="s">
        <v>167</v>
      </c>
      <c r="G96" s="176" t="s">
        <v>9</v>
      </c>
      <c r="H96" s="176" t="s">
        <v>10</v>
      </c>
      <c r="I96" s="176" t="s">
        <v>743</v>
      </c>
      <c r="J96" s="176" t="s">
        <v>1011</v>
      </c>
      <c r="K96" s="176" t="s">
        <v>263</v>
      </c>
      <c r="L96" s="177"/>
      <c r="M96" s="181"/>
      <c r="N96" s="183" t="s">
        <v>744</v>
      </c>
      <c r="O96" s="177"/>
      <c r="P96" s="183">
        <v>6.5</v>
      </c>
      <c r="Q96" s="182">
        <v>4.3</v>
      </c>
      <c r="R96" s="177"/>
      <c r="S96" s="177"/>
      <c r="T96" s="177"/>
      <c r="U96" s="177"/>
      <c r="V96" s="183" t="s">
        <v>168</v>
      </c>
      <c r="W96" s="177"/>
      <c r="X96" s="177"/>
      <c r="Y96" s="185" t="s">
        <v>756</v>
      </c>
      <c r="Z96" s="177"/>
      <c r="AA96" s="177"/>
      <c r="AB96" s="183">
        <v>11</v>
      </c>
      <c r="AC96" s="173" t="s">
        <v>744</v>
      </c>
      <c r="AD96" s="177"/>
      <c r="AE96" s="177">
        <v>0.2</v>
      </c>
      <c r="AF96" s="173" t="s">
        <v>744</v>
      </c>
      <c r="AG96" s="183"/>
      <c r="AH96" s="183">
        <v>-0.3</v>
      </c>
      <c r="AI96" s="184">
        <v>34.697699999999998</v>
      </c>
      <c r="AJ96" s="176">
        <v>8</v>
      </c>
      <c r="AK96" s="176" t="s">
        <v>924</v>
      </c>
      <c r="AL96" s="182">
        <f>SUM(AB96:AH96)</f>
        <v>10.899999999999999</v>
      </c>
      <c r="AM96" s="185" t="s">
        <v>616</v>
      </c>
      <c r="AN96" s="183" t="s">
        <v>999</v>
      </c>
      <c r="AO96" s="183" t="s">
        <v>545</v>
      </c>
      <c r="AP96" s="186">
        <f t="shared" si="10"/>
        <v>-9.9999999999999992E-2</v>
      </c>
      <c r="AQ96" s="187">
        <v>3</v>
      </c>
      <c r="AR96" s="188">
        <f t="shared" si="6"/>
        <v>0</v>
      </c>
      <c r="AS96" s="188">
        <f t="shared" si="7"/>
        <v>0</v>
      </c>
      <c r="AT96" s="188">
        <f t="shared" si="7"/>
        <v>0.2</v>
      </c>
      <c r="AU96" s="188">
        <f t="shared" si="8"/>
        <v>-0.3</v>
      </c>
      <c r="AV96" s="188">
        <f t="shared" si="9"/>
        <v>-9.9999999999999978E-2</v>
      </c>
    </row>
    <row r="97" spans="1:48">
      <c r="A97" s="176">
        <v>507</v>
      </c>
      <c r="B97" s="180"/>
      <c r="C97" s="176" t="s">
        <v>925</v>
      </c>
      <c r="D97" s="176" t="s">
        <v>156</v>
      </c>
      <c r="E97" s="176" t="s">
        <v>169</v>
      </c>
      <c r="F97" s="176" t="s">
        <v>170</v>
      </c>
      <c r="G97" s="176" t="s">
        <v>9</v>
      </c>
      <c r="H97" s="176" t="s">
        <v>127</v>
      </c>
      <c r="I97" s="176" t="s">
        <v>743</v>
      </c>
      <c r="J97" s="176" t="s">
        <v>141</v>
      </c>
      <c r="K97" s="176" t="s">
        <v>1023</v>
      </c>
      <c r="L97" s="177"/>
      <c r="M97" s="177"/>
      <c r="N97" s="177"/>
      <c r="O97" s="177"/>
      <c r="P97" s="177"/>
      <c r="Q97" s="177"/>
      <c r="R97" s="182">
        <v>0.5</v>
      </c>
      <c r="S97" s="183" t="s">
        <v>754</v>
      </c>
      <c r="T97" s="189">
        <v>6.9</v>
      </c>
      <c r="U97" s="183" t="s">
        <v>759</v>
      </c>
      <c r="V97" s="177"/>
      <c r="W97" s="177"/>
      <c r="X97" s="177"/>
      <c r="Y97" s="177"/>
      <c r="Z97" s="177"/>
      <c r="AA97" s="177"/>
      <c r="AB97" s="183">
        <v>2.2999999999999998</v>
      </c>
      <c r="AC97" s="173" t="s">
        <v>775</v>
      </c>
      <c r="AD97" s="177"/>
      <c r="AE97" s="177"/>
      <c r="AF97" s="183"/>
      <c r="AG97" s="183"/>
      <c r="AH97" s="183">
        <v>-1.9</v>
      </c>
      <c r="AI97" s="184">
        <v>106.9341</v>
      </c>
      <c r="AJ97" s="176">
        <v>8</v>
      </c>
      <c r="AK97" s="176"/>
      <c r="AL97" s="182">
        <f>SUM(L97:AH97)</f>
        <v>7.7999999999999989</v>
      </c>
      <c r="AM97" s="185" t="s">
        <v>127</v>
      </c>
      <c r="AN97" s="183" t="s">
        <v>999</v>
      </c>
      <c r="AO97" s="183" t="s">
        <v>545</v>
      </c>
      <c r="AP97" s="186">
        <f t="shared" si="10"/>
        <v>-0.31666666666666665</v>
      </c>
      <c r="AQ97" s="187">
        <v>6</v>
      </c>
      <c r="AR97" s="188">
        <f t="shared" si="6"/>
        <v>0</v>
      </c>
      <c r="AS97" s="188">
        <f t="shared" si="7"/>
        <v>0</v>
      </c>
      <c r="AT97" s="188">
        <f t="shared" si="7"/>
        <v>0</v>
      </c>
      <c r="AU97" s="188">
        <f t="shared" si="8"/>
        <v>-1.9</v>
      </c>
      <c r="AV97" s="188">
        <f t="shared" si="9"/>
        <v>-1.9</v>
      </c>
    </row>
    <row r="98" spans="1:48">
      <c r="A98" s="176">
        <v>508</v>
      </c>
      <c r="B98" s="180"/>
      <c r="C98" s="176" t="s">
        <v>926</v>
      </c>
      <c r="D98" s="176" t="s">
        <v>156</v>
      </c>
      <c r="E98" s="176" t="s">
        <v>171</v>
      </c>
      <c r="F98" s="176" t="s">
        <v>172</v>
      </c>
      <c r="G98" s="176" t="s">
        <v>9</v>
      </c>
      <c r="H98" s="176" t="s">
        <v>127</v>
      </c>
      <c r="I98" s="176" t="s">
        <v>743</v>
      </c>
      <c r="J98" s="176" t="s">
        <v>141</v>
      </c>
      <c r="K98" s="176" t="s">
        <v>1023</v>
      </c>
      <c r="L98" s="177"/>
      <c r="M98" s="177"/>
      <c r="N98" s="177"/>
      <c r="O98" s="177"/>
      <c r="P98" s="177"/>
      <c r="Q98" s="177"/>
      <c r="R98" s="182">
        <v>3.3</v>
      </c>
      <c r="S98" s="183" t="s">
        <v>754</v>
      </c>
      <c r="T98" s="189">
        <v>2</v>
      </c>
      <c r="U98" s="183" t="s">
        <v>759</v>
      </c>
      <c r="V98" s="177"/>
      <c r="W98" s="177"/>
      <c r="X98" s="177"/>
      <c r="Y98" s="177"/>
      <c r="Z98" s="177"/>
      <c r="AA98" s="177"/>
      <c r="AB98" s="183">
        <v>6.6</v>
      </c>
      <c r="AC98" s="173" t="s">
        <v>775</v>
      </c>
      <c r="AD98" s="177"/>
      <c r="AE98" s="177"/>
      <c r="AF98" s="183"/>
      <c r="AG98" s="183"/>
      <c r="AH98" s="183">
        <v>-0.5</v>
      </c>
      <c r="AI98" s="184">
        <v>82.879099999999994</v>
      </c>
      <c r="AJ98" s="176">
        <v>8</v>
      </c>
      <c r="AK98" s="176"/>
      <c r="AL98" s="182">
        <f>SUM(L98:AH98)</f>
        <v>11.399999999999999</v>
      </c>
      <c r="AM98" s="185" t="s">
        <v>127</v>
      </c>
      <c r="AN98" s="183" t="s">
        <v>999</v>
      </c>
      <c r="AO98" s="183" t="s">
        <v>545</v>
      </c>
      <c r="AP98" s="186">
        <f t="shared" si="10"/>
        <v>-8.3333333333333329E-2</v>
      </c>
      <c r="AQ98" s="187">
        <v>6</v>
      </c>
      <c r="AR98" s="188">
        <f t="shared" si="6"/>
        <v>0</v>
      </c>
      <c r="AS98" s="188">
        <f t="shared" si="7"/>
        <v>0</v>
      </c>
      <c r="AT98" s="188">
        <f t="shared" si="7"/>
        <v>0</v>
      </c>
      <c r="AU98" s="188">
        <f t="shared" si="8"/>
        <v>-0.5</v>
      </c>
      <c r="AV98" s="188">
        <f t="shared" si="9"/>
        <v>-0.5</v>
      </c>
    </row>
    <row r="99" spans="1:48">
      <c r="A99" s="176">
        <v>601</v>
      </c>
      <c r="B99" s="180"/>
      <c r="C99" s="176" t="s">
        <v>931</v>
      </c>
      <c r="D99" s="176" t="s">
        <v>180</v>
      </c>
      <c r="E99" s="176" t="s">
        <v>932</v>
      </c>
      <c r="F99" s="176" t="s">
        <v>181</v>
      </c>
      <c r="G99" s="176" t="s">
        <v>9</v>
      </c>
      <c r="H99" s="176" t="s">
        <v>127</v>
      </c>
      <c r="I99" s="176" t="s">
        <v>743</v>
      </c>
      <c r="J99" s="176" t="s">
        <v>141</v>
      </c>
      <c r="K99" s="176" t="s">
        <v>1023</v>
      </c>
      <c r="L99" s="177"/>
      <c r="M99" s="177"/>
      <c r="N99" s="177"/>
      <c r="O99" s="177"/>
      <c r="P99" s="177"/>
      <c r="Q99" s="177"/>
      <c r="R99" s="182">
        <v>1.5</v>
      </c>
      <c r="S99" s="183" t="s">
        <v>754</v>
      </c>
      <c r="T99" s="189">
        <v>-0.2</v>
      </c>
      <c r="U99" s="183" t="s">
        <v>759</v>
      </c>
      <c r="V99" s="177"/>
      <c r="W99" s="177"/>
      <c r="X99" s="177"/>
      <c r="Y99" s="177"/>
      <c r="Z99" s="177"/>
      <c r="AA99" s="177"/>
      <c r="AB99" s="183">
        <v>4</v>
      </c>
      <c r="AC99" s="173"/>
      <c r="AD99" s="177"/>
      <c r="AE99" s="177"/>
      <c r="AF99" s="183"/>
      <c r="AG99" s="183"/>
      <c r="AH99" s="183"/>
      <c r="AI99" s="184">
        <v>77.460999999999999</v>
      </c>
      <c r="AJ99" s="176">
        <v>2</v>
      </c>
      <c r="AK99" s="176" t="s">
        <v>1035</v>
      </c>
      <c r="AL99" s="182"/>
      <c r="AM99" s="185"/>
      <c r="AN99" s="183"/>
      <c r="AO99" s="183"/>
      <c r="AP99" s="186"/>
      <c r="AQ99" s="187"/>
      <c r="AR99" s="188">
        <f t="shared" si="6"/>
        <v>0</v>
      </c>
      <c r="AS99" s="188">
        <f t="shared" si="7"/>
        <v>0</v>
      </c>
      <c r="AT99" s="188">
        <f t="shared" si="7"/>
        <v>0</v>
      </c>
      <c r="AU99" s="188">
        <f t="shared" si="8"/>
        <v>0</v>
      </c>
      <c r="AV99" s="188">
        <f t="shared" si="9"/>
        <v>0</v>
      </c>
    </row>
    <row r="100" spans="1:48">
      <c r="A100" s="176">
        <v>602</v>
      </c>
      <c r="B100" s="180"/>
      <c r="C100" s="176" t="s">
        <v>934</v>
      </c>
      <c r="D100" s="176" t="s">
        <v>180</v>
      </c>
      <c r="E100" s="176" t="s">
        <v>182</v>
      </c>
      <c r="F100" s="176" t="s">
        <v>183</v>
      </c>
      <c r="G100" s="176" t="s">
        <v>12</v>
      </c>
      <c r="H100" s="176" t="s">
        <v>31</v>
      </c>
      <c r="I100" s="176" t="s">
        <v>743</v>
      </c>
      <c r="J100" s="176" t="s">
        <v>1011</v>
      </c>
      <c r="K100" s="176" t="s">
        <v>263</v>
      </c>
      <c r="L100" s="177"/>
      <c r="M100" s="177"/>
      <c r="N100" s="177"/>
      <c r="O100" s="177"/>
      <c r="P100" s="177"/>
      <c r="Q100" s="182">
        <v>6.4</v>
      </c>
      <c r="R100" s="182">
        <v>0.4</v>
      </c>
      <c r="S100" s="183" t="s">
        <v>754</v>
      </c>
      <c r="T100" s="189">
        <v>0.7</v>
      </c>
      <c r="U100" s="183" t="s">
        <v>759</v>
      </c>
      <c r="V100" s="177"/>
      <c r="W100" s="177"/>
      <c r="X100" s="177"/>
      <c r="Y100" s="177"/>
      <c r="Z100" s="177"/>
      <c r="AA100" s="177"/>
      <c r="AB100" s="183">
        <v>0</v>
      </c>
      <c r="AC100" s="173" t="s">
        <v>775</v>
      </c>
      <c r="AD100" s="177"/>
      <c r="AE100" s="177"/>
      <c r="AF100" s="183"/>
      <c r="AG100" s="183"/>
      <c r="AH100" s="183">
        <v>2.2000000000000002</v>
      </c>
      <c r="AI100" s="184">
        <v>94.949100000000001</v>
      </c>
      <c r="AJ100" s="176">
        <v>8</v>
      </c>
      <c r="AK100" s="176"/>
      <c r="AL100" s="182">
        <f t="shared" ref="AL100:AL106" si="12">SUM(L100:AH100)</f>
        <v>9.7000000000000011</v>
      </c>
      <c r="AM100" s="185" t="s">
        <v>31</v>
      </c>
      <c r="AN100" s="183" t="s">
        <v>999</v>
      </c>
      <c r="AO100" s="183" t="s">
        <v>545</v>
      </c>
      <c r="AP100" s="186">
        <f t="shared" si="10"/>
        <v>0.3666666666666667</v>
      </c>
      <c r="AQ100" s="187">
        <v>6</v>
      </c>
      <c r="AR100" s="188">
        <f t="shared" si="6"/>
        <v>0</v>
      </c>
      <c r="AS100" s="188">
        <f t="shared" si="7"/>
        <v>0</v>
      </c>
      <c r="AT100" s="188">
        <f t="shared" si="7"/>
        <v>0</v>
      </c>
      <c r="AU100" s="188">
        <f t="shared" si="8"/>
        <v>2.2000000000000002</v>
      </c>
      <c r="AV100" s="188">
        <f t="shared" si="9"/>
        <v>2.2000000000000002</v>
      </c>
    </row>
    <row r="101" spans="1:48">
      <c r="A101" s="176">
        <v>603</v>
      </c>
      <c r="B101" s="180"/>
      <c r="C101" s="176" t="s">
        <v>935</v>
      </c>
      <c r="D101" s="176" t="s">
        <v>180</v>
      </c>
      <c r="E101" s="176" t="s">
        <v>184</v>
      </c>
      <c r="F101" s="176" t="s">
        <v>185</v>
      </c>
      <c r="G101" s="176" t="s">
        <v>12</v>
      </c>
      <c r="H101" s="176" t="s">
        <v>31</v>
      </c>
      <c r="I101" s="176" t="s">
        <v>743</v>
      </c>
      <c r="J101" s="176" t="s">
        <v>1011</v>
      </c>
      <c r="K101" s="176" t="s">
        <v>263</v>
      </c>
      <c r="L101" s="177"/>
      <c r="M101" s="177"/>
      <c r="N101" s="177"/>
      <c r="O101" s="177"/>
      <c r="P101" s="177"/>
      <c r="Q101" s="182">
        <v>6</v>
      </c>
      <c r="R101" s="182">
        <v>-2.7</v>
      </c>
      <c r="S101" s="183" t="s">
        <v>754</v>
      </c>
      <c r="T101" s="189">
        <v>-0.4</v>
      </c>
      <c r="U101" s="183" t="s">
        <v>759</v>
      </c>
      <c r="V101" s="177"/>
      <c r="W101" s="177"/>
      <c r="X101" s="177"/>
      <c r="Y101" s="177"/>
      <c r="Z101" s="177"/>
      <c r="AA101" s="177"/>
      <c r="AB101" s="183">
        <v>1.4</v>
      </c>
      <c r="AC101" s="173" t="s">
        <v>775</v>
      </c>
      <c r="AD101" s="177"/>
      <c r="AE101" s="177"/>
      <c r="AF101" s="183"/>
      <c r="AG101" s="183"/>
      <c r="AH101" s="183">
        <v>0.1</v>
      </c>
      <c r="AI101" s="184">
        <v>75.955399999999997</v>
      </c>
      <c r="AJ101" s="176">
        <v>8</v>
      </c>
      <c r="AK101" s="176"/>
      <c r="AL101" s="182">
        <f t="shared" si="12"/>
        <v>4.3999999999999995</v>
      </c>
      <c r="AM101" s="185" t="s">
        <v>31</v>
      </c>
      <c r="AN101" s="183" t="s">
        <v>999</v>
      </c>
      <c r="AO101" s="183" t="s">
        <v>545</v>
      </c>
      <c r="AP101" s="186">
        <f t="shared" si="10"/>
        <v>1.6666666666666666E-2</v>
      </c>
      <c r="AQ101" s="187">
        <v>6</v>
      </c>
      <c r="AR101" s="188">
        <f t="shared" si="6"/>
        <v>0</v>
      </c>
      <c r="AS101" s="188">
        <f t="shared" si="7"/>
        <v>0</v>
      </c>
      <c r="AT101" s="188">
        <f t="shared" si="7"/>
        <v>0</v>
      </c>
      <c r="AU101" s="188">
        <f t="shared" si="8"/>
        <v>0.1</v>
      </c>
      <c r="AV101" s="188">
        <f t="shared" si="9"/>
        <v>0.1</v>
      </c>
    </row>
    <row r="102" spans="1:48">
      <c r="A102" s="176">
        <v>701</v>
      </c>
      <c r="B102" s="180" t="s">
        <v>1002</v>
      </c>
      <c r="C102" s="176" t="s">
        <v>936</v>
      </c>
      <c r="D102" s="176" t="s">
        <v>186</v>
      </c>
      <c r="E102" s="176" t="s">
        <v>1036</v>
      </c>
      <c r="F102" s="176" t="s">
        <v>187</v>
      </c>
      <c r="G102" s="176" t="s">
        <v>9</v>
      </c>
      <c r="H102" s="176" t="s">
        <v>19</v>
      </c>
      <c r="I102" s="176" t="s">
        <v>743</v>
      </c>
      <c r="J102" s="176" t="s">
        <v>1011</v>
      </c>
      <c r="K102" s="176" t="s">
        <v>263</v>
      </c>
      <c r="L102" s="182">
        <v>11</v>
      </c>
      <c r="M102" s="182">
        <v>8.5</v>
      </c>
      <c r="N102" s="182">
        <v>3.9</v>
      </c>
      <c r="O102" s="183" t="s">
        <v>754</v>
      </c>
      <c r="P102" s="183">
        <v>18</v>
      </c>
      <c r="Q102" s="182">
        <v>10.1</v>
      </c>
      <c r="R102" s="182">
        <v>7.9</v>
      </c>
      <c r="S102" s="182">
        <v>-5.9</v>
      </c>
      <c r="T102" s="182">
        <v>6.6</v>
      </c>
      <c r="U102" s="182">
        <v>4.4000000000000004</v>
      </c>
      <c r="V102" s="182">
        <v>2.4</v>
      </c>
      <c r="W102" s="182">
        <v>5</v>
      </c>
      <c r="X102" s="182">
        <v>1.5</v>
      </c>
      <c r="Y102" s="182">
        <v>-4.8</v>
      </c>
      <c r="Z102" s="176">
        <v>6.4</v>
      </c>
      <c r="AA102" s="182">
        <v>4.3</v>
      </c>
      <c r="AB102" s="182">
        <v>1.6</v>
      </c>
      <c r="AC102" s="182">
        <v>5.7</v>
      </c>
      <c r="AD102" s="182">
        <v>0.7</v>
      </c>
      <c r="AE102" s="176">
        <v>-3.4</v>
      </c>
      <c r="AF102" s="182">
        <v>2.8</v>
      </c>
      <c r="AG102" s="182">
        <v>4.5999999999999996</v>
      </c>
      <c r="AH102" s="182">
        <v>13</v>
      </c>
      <c r="AI102" s="184">
        <v>10.6737</v>
      </c>
      <c r="AJ102" s="176">
        <v>8</v>
      </c>
      <c r="AK102" s="176"/>
      <c r="AL102" s="182">
        <f t="shared" si="12"/>
        <v>104.3</v>
      </c>
      <c r="AM102" s="185" t="s">
        <v>19</v>
      </c>
      <c r="AN102" s="183" t="s">
        <v>999</v>
      </c>
      <c r="AO102" s="183" t="s">
        <v>545</v>
      </c>
      <c r="AP102" s="186">
        <f t="shared" si="10"/>
        <v>13</v>
      </c>
      <c r="AQ102" s="187">
        <v>1</v>
      </c>
      <c r="AR102" s="188">
        <f t="shared" si="6"/>
        <v>5</v>
      </c>
      <c r="AS102" s="188">
        <f t="shared" si="7"/>
        <v>0.7</v>
      </c>
      <c r="AT102" s="188">
        <f t="shared" si="7"/>
        <v>-3.4</v>
      </c>
      <c r="AU102" s="188">
        <f t="shared" si="8"/>
        <v>13</v>
      </c>
      <c r="AV102" s="188">
        <f t="shared" si="9"/>
        <v>17.7</v>
      </c>
    </row>
    <row r="103" spans="1:48">
      <c r="A103" s="176">
        <v>702</v>
      </c>
      <c r="B103" s="180" t="s">
        <v>1002</v>
      </c>
      <c r="C103" s="176" t="s">
        <v>938</v>
      </c>
      <c r="D103" s="176" t="s">
        <v>186</v>
      </c>
      <c r="E103" s="176" t="s">
        <v>1037</v>
      </c>
      <c r="F103" s="176" t="s">
        <v>940</v>
      </c>
      <c r="G103" s="176" t="s">
        <v>9</v>
      </c>
      <c r="H103" s="176" t="s">
        <v>19</v>
      </c>
      <c r="I103" s="176" t="s">
        <v>743</v>
      </c>
      <c r="J103" s="176" t="s">
        <v>54</v>
      </c>
      <c r="K103" s="176" t="s">
        <v>264</v>
      </c>
      <c r="L103" s="182">
        <v>6.5</v>
      </c>
      <c r="M103" s="182">
        <v>5.6</v>
      </c>
      <c r="N103" s="182">
        <v>1.6</v>
      </c>
      <c r="O103" s="183" t="s">
        <v>754</v>
      </c>
      <c r="P103" s="183">
        <v>27.6</v>
      </c>
      <c r="Q103" s="182">
        <v>8</v>
      </c>
      <c r="R103" s="182">
        <v>5.8</v>
      </c>
      <c r="S103" s="182">
        <v>-9.6</v>
      </c>
      <c r="T103" s="182">
        <v>11.1</v>
      </c>
      <c r="U103" s="182">
        <v>5</v>
      </c>
      <c r="V103" s="182">
        <v>10.1</v>
      </c>
      <c r="W103" s="182">
        <v>4.3</v>
      </c>
      <c r="X103" s="182">
        <v>2.4</v>
      </c>
      <c r="Y103" s="182">
        <v>-3.9</v>
      </c>
      <c r="Z103" s="176">
        <v>4.7</v>
      </c>
      <c r="AA103" s="182">
        <v>6.2</v>
      </c>
      <c r="AB103" s="182">
        <v>-3.7</v>
      </c>
      <c r="AC103" s="182">
        <v>8.9</v>
      </c>
      <c r="AD103" s="182">
        <v>-1.3</v>
      </c>
      <c r="AE103" s="176">
        <v>-1.5</v>
      </c>
      <c r="AF103" s="182">
        <v>2</v>
      </c>
      <c r="AG103" s="182">
        <v>4.0999999999999996</v>
      </c>
      <c r="AH103" s="182">
        <v>1.8</v>
      </c>
      <c r="AI103" s="184">
        <v>6.5746000000000002</v>
      </c>
      <c r="AJ103" s="176">
        <v>8</v>
      </c>
      <c r="AK103" s="176"/>
      <c r="AL103" s="182">
        <f t="shared" si="12"/>
        <v>95.699999999999989</v>
      </c>
      <c r="AM103" s="185" t="s">
        <v>19</v>
      </c>
      <c r="AN103" s="183" t="s">
        <v>999</v>
      </c>
      <c r="AO103" s="183" t="s">
        <v>545</v>
      </c>
      <c r="AP103" s="186">
        <f t="shared" si="10"/>
        <v>1.8</v>
      </c>
      <c r="AQ103" s="187">
        <v>1</v>
      </c>
      <c r="AR103" s="188">
        <f t="shared" si="6"/>
        <v>4.3</v>
      </c>
      <c r="AS103" s="188">
        <f t="shared" si="7"/>
        <v>-1.3</v>
      </c>
      <c r="AT103" s="188">
        <f t="shared" si="7"/>
        <v>-1.5</v>
      </c>
      <c r="AU103" s="188">
        <f t="shared" si="8"/>
        <v>1.8</v>
      </c>
      <c r="AV103" s="188">
        <f t="shared" si="9"/>
        <v>5.0999999999999996</v>
      </c>
    </row>
    <row r="104" spans="1:48">
      <c r="A104" s="176">
        <v>703</v>
      </c>
      <c r="B104" s="180" t="s">
        <v>1002</v>
      </c>
      <c r="C104" s="176" t="s">
        <v>941</v>
      </c>
      <c r="D104" s="176" t="s">
        <v>186</v>
      </c>
      <c r="E104" s="176" t="s">
        <v>942</v>
      </c>
      <c r="F104" s="176" t="s">
        <v>943</v>
      </c>
      <c r="G104" s="176" t="s">
        <v>12</v>
      </c>
      <c r="H104" s="176" t="s">
        <v>19</v>
      </c>
      <c r="I104" s="176" t="s">
        <v>743</v>
      </c>
      <c r="J104" s="176" t="s">
        <v>763</v>
      </c>
      <c r="K104" s="176" t="s">
        <v>263</v>
      </c>
      <c r="L104" s="182">
        <v>2.2000000000000002</v>
      </c>
      <c r="M104" s="182">
        <v>4</v>
      </c>
      <c r="N104" s="182">
        <v>-3.2</v>
      </c>
      <c r="O104" s="182">
        <v>6.6</v>
      </c>
      <c r="P104" s="182">
        <v>1.1000000000000001</v>
      </c>
      <c r="Q104" s="182">
        <v>0.9</v>
      </c>
      <c r="R104" s="182">
        <v>3</v>
      </c>
      <c r="S104" s="182">
        <v>-3.9</v>
      </c>
      <c r="T104" s="182">
        <v>2.5</v>
      </c>
      <c r="U104" s="182">
        <v>-0.5</v>
      </c>
      <c r="V104" s="182">
        <v>3.2</v>
      </c>
      <c r="W104" s="182">
        <v>1.2</v>
      </c>
      <c r="X104" s="182">
        <v>0</v>
      </c>
      <c r="Y104" s="182">
        <v>-4.5999999999999996</v>
      </c>
      <c r="Z104" s="176">
        <v>5.2</v>
      </c>
      <c r="AA104" s="182">
        <v>1.7</v>
      </c>
      <c r="AB104" s="182">
        <v>0</v>
      </c>
      <c r="AC104" s="182">
        <v>2.4</v>
      </c>
      <c r="AD104" s="182">
        <v>-1.2</v>
      </c>
      <c r="AE104" s="176">
        <v>-2.1</v>
      </c>
      <c r="AF104" s="182">
        <v>0.8</v>
      </c>
      <c r="AG104" s="182">
        <v>1.4</v>
      </c>
      <c r="AH104" s="182">
        <v>1.9</v>
      </c>
      <c r="AI104" s="184">
        <v>15.8222</v>
      </c>
      <c r="AJ104" s="176">
        <v>8</v>
      </c>
      <c r="AK104" s="176"/>
      <c r="AL104" s="182">
        <f t="shared" si="12"/>
        <v>22.599999999999994</v>
      </c>
      <c r="AM104" s="185" t="s">
        <v>19</v>
      </c>
      <c r="AN104" s="183" t="s">
        <v>999</v>
      </c>
      <c r="AO104" s="183" t="s">
        <v>545</v>
      </c>
      <c r="AP104" s="186">
        <f t="shared" si="10"/>
        <v>1.9</v>
      </c>
      <c r="AQ104" s="187">
        <v>1</v>
      </c>
      <c r="AR104" s="188">
        <f t="shared" si="6"/>
        <v>1.2</v>
      </c>
      <c r="AS104" s="188">
        <f t="shared" si="7"/>
        <v>-1.2</v>
      </c>
      <c r="AT104" s="188">
        <f t="shared" si="7"/>
        <v>-2.1</v>
      </c>
      <c r="AU104" s="188">
        <f t="shared" si="8"/>
        <v>1.9</v>
      </c>
      <c r="AV104" s="188">
        <f t="shared" si="9"/>
        <v>0.79999999999999982</v>
      </c>
    </row>
    <row r="105" spans="1:48">
      <c r="A105" s="176">
        <v>704</v>
      </c>
      <c r="B105" s="180" t="s">
        <v>1002</v>
      </c>
      <c r="C105" s="176" t="s">
        <v>944</v>
      </c>
      <c r="D105" s="176" t="s">
        <v>186</v>
      </c>
      <c r="E105" s="176" t="s">
        <v>1038</v>
      </c>
      <c r="F105" s="176" t="s">
        <v>188</v>
      </c>
      <c r="G105" s="176" t="s">
        <v>12</v>
      </c>
      <c r="H105" s="176" t="s">
        <v>19</v>
      </c>
      <c r="I105" s="176" t="s">
        <v>743</v>
      </c>
      <c r="J105" s="176" t="s">
        <v>1011</v>
      </c>
      <c r="K105" s="176" t="s">
        <v>263</v>
      </c>
      <c r="L105" s="182">
        <v>9.9</v>
      </c>
      <c r="M105" s="182">
        <v>1.5</v>
      </c>
      <c r="N105" s="182">
        <v>-0.1</v>
      </c>
      <c r="O105" s="182">
        <v>0.8</v>
      </c>
      <c r="P105" s="182">
        <v>4.0999999999999996</v>
      </c>
      <c r="Q105" s="182">
        <v>0.8</v>
      </c>
      <c r="R105" s="182">
        <v>2.2999999999999998</v>
      </c>
      <c r="S105" s="182">
        <v>-3.7</v>
      </c>
      <c r="T105" s="182">
        <v>2.2999999999999998</v>
      </c>
      <c r="U105" s="182">
        <v>-0.2</v>
      </c>
      <c r="V105" s="182">
        <v>-0.3</v>
      </c>
      <c r="W105" s="182">
        <v>1.3</v>
      </c>
      <c r="X105" s="182">
        <v>1.2</v>
      </c>
      <c r="Y105" s="182">
        <v>-1.8</v>
      </c>
      <c r="Z105" s="176">
        <v>3.4</v>
      </c>
      <c r="AA105" s="182">
        <v>-1.7</v>
      </c>
      <c r="AB105" s="182">
        <v>0.8</v>
      </c>
      <c r="AC105" s="182">
        <v>1.5</v>
      </c>
      <c r="AD105" s="182">
        <v>-0.5</v>
      </c>
      <c r="AE105" s="182">
        <v>2</v>
      </c>
      <c r="AF105" s="182">
        <v>-0.1</v>
      </c>
      <c r="AG105" s="182">
        <v>0.3</v>
      </c>
      <c r="AH105" s="182">
        <v>2</v>
      </c>
      <c r="AI105" s="184">
        <v>33.7639</v>
      </c>
      <c r="AJ105" s="176">
        <v>8</v>
      </c>
      <c r="AK105" s="176"/>
      <c r="AL105" s="182">
        <f t="shared" si="12"/>
        <v>25.800000000000004</v>
      </c>
      <c r="AM105" s="185" t="s">
        <v>19</v>
      </c>
      <c r="AN105" s="183" t="s">
        <v>999</v>
      </c>
      <c r="AO105" s="183" t="s">
        <v>545</v>
      </c>
      <c r="AP105" s="186">
        <f t="shared" si="10"/>
        <v>2</v>
      </c>
      <c r="AQ105" s="187">
        <v>1</v>
      </c>
      <c r="AR105" s="188">
        <f t="shared" si="6"/>
        <v>1.3</v>
      </c>
      <c r="AS105" s="188">
        <f t="shared" si="7"/>
        <v>-0.5</v>
      </c>
      <c r="AT105" s="188">
        <f t="shared" si="7"/>
        <v>2</v>
      </c>
      <c r="AU105" s="188">
        <f t="shared" si="8"/>
        <v>2</v>
      </c>
      <c r="AV105" s="188">
        <f t="shared" si="9"/>
        <v>3.7</v>
      </c>
    </row>
    <row r="106" spans="1:48">
      <c r="A106" s="176">
        <v>705</v>
      </c>
      <c r="B106" s="180"/>
      <c r="C106" s="176" t="s">
        <v>946</v>
      </c>
      <c r="D106" s="176" t="s">
        <v>186</v>
      </c>
      <c r="E106" s="176" t="s">
        <v>189</v>
      </c>
      <c r="F106" s="176" t="s">
        <v>190</v>
      </c>
      <c r="G106" s="176" t="s">
        <v>12</v>
      </c>
      <c r="H106" s="176" t="s">
        <v>19</v>
      </c>
      <c r="I106" s="176" t="s">
        <v>743</v>
      </c>
      <c r="J106" s="176" t="s">
        <v>1011</v>
      </c>
      <c r="K106" s="176" t="s">
        <v>263</v>
      </c>
      <c r="L106" s="182">
        <v>9.8000000000000007</v>
      </c>
      <c r="M106" s="182">
        <v>-2.2000000000000002</v>
      </c>
      <c r="N106" s="182">
        <v>-2.5</v>
      </c>
      <c r="O106" s="191">
        <v>-0.6</v>
      </c>
      <c r="P106" s="182">
        <v>5.4</v>
      </c>
      <c r="Q106" s="182">
        <v>1</v>
      </c>
      <c r="R106" s="182">
        <v>0.6</v>
      </c>
      <c r="S106" s="182">
        <v>-3.6</v>
      </c>
      <c r="T106" s="182">
        <v>3</v>
      </c>
      <c r="U106" s="182">
        <v>-1.7</v>
      </c>
      <c r="V106" s="182">
        <v>1.6</v>
      </c>
      <c r="W106" s="182">
        <v>3.3</v>
      </c>
      <c r="X106" s="182">
        <v>0.4</v>
      </c>
      <c r="Y106" s="182">
        <v>-1.6</v>
      </c>
      <c r="Z106" s="176" t="s">
        <v>744</v>
      </c>
      <c r="AA106" s="176"/>
      <c r="AB106" s="182">
        <v>0.6</v>
      </c>
      <c r="AC106" s="182">
        <v>2.2000000000000002</v>
      </c>
      <c r="AD106" s="182">
        <v>-0.9</v>
      </c>
      <c r="AE106" s="176">
        <v>1.1000000000000001</v>
      </c>
      <c r="AF106" s="182">
        <v>0.3</v>
      </c>
      <c r="AG106" s="182">
        <v>0.9</v>
      </c>
      <c r="AH106" s="182">
        <v>1.1000000000000001</v>
      </c>
      <c r="AI106" s="184">
        <v>26.917400000000001</v>
      </c>
      <c r="AJ106" s="176">
        <v>8</v>
      </c>
      <c r="AK106" s="176" t="s">
        <v>745</v>
      </c>
      <c r="AL106" s="182">
        <f t="shared" si="12"/>
        <v>18.200000000000003</v>
      </c>
      <c r="AM106" s="185" t="s">
        <v>19</v>
      </c>
      <c r="AN106" s="183" t="s">
        <v>999</v>
      </c>
      <c r="AO106" s="183" t="s">
        <v>545</v>
      </c>
      <c r="AP106" s="186">
        <f t="shared" si="10"/>
        <v>1.1000000000000001</v>
      </c>
      <c r="AQ106" s="187">
        <v>1</v>
      </c>
      <c r="AR106" s="188">
        <f t="shared" si="6"/>
        <v>3.3</v>
      </c>
      <c r="AS106" s="188">
        <f t="shared" si="7"/>
        <v>-0.9</v>
      </c>
      <c r="AT106" s="188">
        <f t="shared" si="7"/>
        <v>1.1000000000000001</v>
      </c>
      <c r="AU106" s="188">
        <f t="shared" si="8"/>
        <v>1.1000000000000001</v>
      </c>
      <c r="AV106" s="188">
        <f t="shared" si="9"/>
        <v>2.5</v>
      </c>
    </row>
    <row r="107" spans="1:48">
      <c r="A107" s="176">
        <v>706</v>
      </c>
      <c r="B107" s="180" t="s">
        <v>1002</v>
      </c>
      <c r="C107" s="176" t="s">
        <v>947</v>
      </c>
      <c r="D107" s="176" t="s">
        <v>186</v>
      </c>
      <c r="E107" s="176" t="s">
        <v>189</v>
      </c>
      <c r="F107" s="176" t="s">
        <v>190</v>
      </c>
      <c r="G107" s="176" t="s">
        <v>9</v>
      </c>
      <c r="H107" s="176" t="s">
        <v>19</v>
      </c>
      <c r="I107" s="176" t="s">
        <v>743</v>
      </c>
      <c r="J107" s="176" t="s">
        <v>1011</v>
      </c>
      <c r="K107" s="176" t="s">
        <v>263</v>
      </c>
      <c r="L107" s="182" t="s">
        <v>754</v>
      </c>
      <c r="M107" s="182">
        <v>12.9</v>
      </c>
      <c r="N107" s="182">
        <v>-2.1</v>
      </c>
      <c r="O107" s="182">
        <v>0.1</v>
      </c>
      <c r="P107" s="182">
        <v>6.1</v>
      </c>
      <c r="Q107" s="182">
        <v>1.2</v>
      </c>
      <c r="R107" s="182">
        <v>1.4</v>
      </c>
      <c r="S107" s="182">
        <v>-3.4</v>
      </c>
      <c r="T107" s="182">
        <v>3.5</v>
      </c>
      <c r="U107" s="182">
        <v>-1.7</v>
      </c>
      <c r="V107" s="182">
        <v>2.2999999999999998</v>
      </c>
      <c r="W107" s="182">
        <v>3.7</v>
      </c>
      <c r="X107" s="182">
        <v>1</v>
      </c>
      <c r="Y107" s="182">
        <v>-1.6</v>
      </c>
      <c r="Z107" s="182">
        <v>4</v>
      </c>
      <c r="AA107" s="182">
        <v>-0.8</v>
      </c>
      <c r="AB107" s="182">
        <v>-2.6</v>
      </c>
      <c r="AC107" s="182">
        <v>2.6</v>
      </c>
      <c r="AD107" s="182">
        <v>-0.7</v>
      </c>
      <c r="AE107" s="176">
        <v>1.9</v>
      </c>
      <c r="AF107" s="182" t="s">
        <v>87</v>
      </c>
      <c r="AG107" s="182">
        <v>1.9</v>
      </c>
      <c r="AH107" s="182">
        <v>2.1</v>
      </c>
      <c r="AI107" s="184">
        <v>26.5885</v>
      </c>
      <c r="AJ107" s="176">
        <v>8</v>
      </c>
      <c r="AK107" s="176" t="s">
        <v>948</v>
      </c>
      <c r="AL107" s="182">
        <f>SUM(AG107:AH107)</f>
        <v>4</v>
      </c>
      <c r="AM107" s="185" t="s">
        <v>36</v>
      </c>
      <c r="AN107" s="183" t="s">
        <v>999</v>
      </c>
      <c r="AO107" s="183" t="s">
        <v>545</v>
      </c>
      <c r="AP107" s="186">
        <f t="shared" si="10"/>
        <v>2.1</v>
      </c>
      <c r="AQ107" s="187">
        <v>1</v>
      </c>
      <c r="AR107" s="188">
        <f t="shared" si="6"/>
        <v>3.7</v>
      </c>
      <c r="AS107" s="188">
        <f t="shared" si="7"/>
        <v>-0.7</v>
      </c>
      <c r="AT107" s="188">
        <f t="shared" si="7"/>
        <v>1.9</v>
      </c>
      <c r="AU107" s="188">
        <f t="shared" si="8"/>
        <v>2.1</v>
      </c>
      <c r="AV107" s="188">
        <f t="shared" si="9"/>
        <v>5.1999999999999993</v>
      </c>
    </row>
    <row r="108" spans="1:48">
      <c r="A108" s="176">
        <v>707</v>
      </c>
      <c r="B108" s="180" t="s">
        <v>1002</v>
      </c>
      <c r="C108" s="176" t="s">
        <v>949</v>
      </c>
      <c r="D108" s="176" t="s">
        <v>186</v>
      </c>
      <c r="E108" s="176" t="s">
        <v>191</v>
      </c>
      <c r="F108" s="176" t="s">
        <v>192</v>
      </c>
      <c r="G108" s="176" t="s">
        <v>9</v>
      </c>
      <c r="H108" s="176" t="s">
        <v>19</v>
      </c>
      <c r="I108" s="176" t="s">
        <v>743</v>
      </c>
      <c r="J108" s="176" t="s">
        <v>54</v>
      </c>
      <c r="K108" s="176" t="s">
        <v>264</v>
      </c>
      <c r="L108" s="182" t="s">
        <v>754</v>
      </c>
      <c r="M108" s="182">
        <v>121.1</v>
      </c>
      <c r="N108" s="182">
        <v>56.7</v>
      </c>
      <c r="O108" s="182">
        <v>10.199999999999999</v>
      </c>
      <c r="P108" s="182">
        <v>49.7</v>
      </c>
      <c r="Q108" s="182">
        <v>9</v>
      </c>
      <c r="R108" s="182">
        <v>3.2</v>
      </c>
      <c r="S108" s="182">
        <v>-4.4000000000000004</v>
      </c>
      <c r="T108" s="182">
        <v>7.9</v>
      </c>
      <c r="U108" s="182">
        <v>5.6</v>
      </c>
      <c r="V108" s="182">
        <v>19.899999999999999</v>
      </c>
      <c r="W108" s="182">
        <v>10.199999999999999</v>
      </c>
      <c r="X108" s="182">
        <v>1.4</v>
      </c>
      <c r="Y108" s="182">
        <v>-1.6</v>
      </c>
      <c r="Z108" s="176">
        <v>4.7</v>
      </c>
      <c r="AA108" s="182">
        <v>-0.6</v>
      </c>
      <c r="AB108" s="182">
        <v>1.6</v>
      </c>
      <c r="AC108" s="182">
        <v>7.3</v>
      </c>
      <c r="AD108" s="182">
        <v>-0.5</v>
      </c>
      <c r="AE108" s="176">
        <v>1.7</v>
      </c>
      <c r="AF108" s="182">
        <v>0.8</v>
      </c>
      <c r="AG108" s="182">
        <v>3.1</v>
      </c>
      <c r="AH108" s="182">
        <v>-2.2000000000000002</v>
      </c>
      <c r="AI108" s="184">
        <v>9.1670999999999996</v>
      </c>
      <c r="AJ108" s="176">
        <v>8</v>
      </c>
      <c r="AK108" s="176"/>
      <c r="AL108" s="182">
        <f t="shared" ref="AL108:AL119" si="13">SUM(L108:AH108)</f>
        <v>304.79999999999995</v>
      </c>
      <c r="AM108" s="185" t="s">
        <v>19</v>
      </c>
      <c r="AN108" s="183" t="s">
        <v>999</v>
      </c>
      <c r="AO108" s="183" t="s">
        <v>545</v>
      </c>
      <c r="AP108" s="186">
        <f t="shared" si="10"/>
        <v>-2.2000000000000002</v>
      </c>
      <c r="AQ108" s="187">
        <v>1</v>
      </c>
      <c r="AR108" s="188">
        <f t="shared" si="6"/>
        <v>10.199999999999999</v>
      </c>
      <c r="AS108" s="188">
        <f t="shared" si="7"/>
        <v>-0.5</v>
      </c>
      <c r="AT108" s="188">
        <f t="shared" si="7"/>
        <v>1.7</v>
      </c>
      <c r="AU108" s="188">
        <f t="shared" si="8"/>
        <v>-2.2000000000000002</v>
      </c>
      <c r="AV108" s="188">
        <f t="shared" si="9"/>
        <v>2.8999999999999995</v>
      </c>
    </row>
    <row r="109" spans="1:48">
      <c r="A109" s="176">
        <v>708</v>
      </c>
      <c r="B109" s="180" t="s">
        <v>1002</v>
      </c>
      <c r="C109" s="176" t="s">
        <v>950</v>
      </c>
      <c r="D109" s="176" t="s">
        <v>186</v>
      </c>
      <c r="E109" s="176" t="s">
        <v>193</v>
      </c>
      <c r="F109" s="176" t="s">
        <v>951</v>
      </c>
      <c r="G109" s="176" t="s">
        <v>9</v>
      </c>
      <c r="H109" s="176" t="s">
        <v>19</v>
      </c>
      <c r="I109" s="176" t="s">
        <v>743</v>
      </c>
      <c r="J109" s="176" t="s">
        <v>763</v>
      </c>
      <c r="K109" s="176" t="s">
        <v>264</v>
      </c>
      <c r="L109" s="182" t="s">
        <v>754</v>
      </c>
      <c r="M109" s="182">
        <v>54.5</v>
      </c>
      <c r="N109" s="182">
        <v>1.8</v>
      </c>
      <c r="O109" s="182">
        <v>1.1000000000000001</v>
      </c>
      <c r="P109" s="182">
        <v>7.8</v>
      </c>
      <c r="Q109" s="182">
        <v>2.6</v>
      </c>
      <c r="R109" s="182">
        <v>2.2000000000000002</v>
      </c>
      <c r="S109" s="182">
        <v>-5.9</v>
      </c>
      <c r="T109" s="182">
        <v>6.1</v>
      </c>
      <c r="U109" s="182">
        <v>-2.1</v>
      </c>
      <c r="V109" s="182">
        <v>9.1</v>
      </c>
      <c r="W109" s="182">
        <v>3.6</v>
      </c>
      <c r="X109" s="182">
        <v>-0.7</v>
      </c>
      <c r="Y109" s="182">
        <v>-0.5</v>
      </c>
      <c r="Z109" s="176">
        <v>3.7</v>
      </c>
      <c r="AA109" s="182">
        <v>-0.7</v>
      </c>
      <c r="AB109" s="182">
        <v>-0.8</v>
      </c>
      <c r="AC109" s="182">
        <v>2.9</v>
      </c>
      <c r="AD109" s="182">
        <v>-0.3</v>
      </c>
      <c r="AE109" s="176">
        <v>0.1</v>
      </c>
      <c r="AF109" s="182">
        <v>0.6</v>
      </c>
      <c r="AG109" s="182">
        <v>2.4</v>
      </c>
      <c r="AH109" s="182">
        <v>5.8</v>
      </c>
      <c r="AI109" s="184">
        <v>12.8939</v>
      </c>
      <c r="AJ109" s="176">
        <v>8</v>
      </c>
      <c r="AK109" s="176"/>
      <c r="AL109" s="182">
        <f t="shared" si="13"/>
        <v>93.299999999999983</v>
      </c>
      <c r="AM109" s="185" t="s">
        <v>19</v>
      </c>
      <c r="AN109" s="183" t="s">
        <v>999</v>
      </c>
      <c r="AO109" s="183" t="s">
        <v>545</v>
      </c>
      <c r="AP109" s="186">
        <f t="shared" si="10"/>
        <v>5.8</v>
      </c>
      <c r="AQ109" s="187">
        <v>1</v>
      </c>
      <c r="AR109" s="188">
        <f t="shared" si="6"/>
        <v>3.6</v>
      </c>
      <c r="AS109" s="188">
        <f t="shared" si="7"/>
        <v>-0.3</v>
      </c>
      <c r="AT109" s="188">
        <f t="shared" si="7"/>
        <v>0.1</v>
      </c>
      <c r="AU109" s="188">
        <f t="shared" si="8"/>
        <v>5.8</v>
      </c>
      <c r="AV109" s="188">
        <f t="shared" si="9"/>
        <v>8.6</v>
      </c>
    </row>
    <row r="110" spans="1:48">
      <c r="A110" s="176">
        <v>709</v>
      </c>
      <c r="B110" s="180"/>
      <c r="C110" s="176" t="s">
        <v>952</v>
      </c>
      <c r="D110" s="176" t="s">
        <v>186</v>
      </c>
      <c r="E110" s="176" t="s">
        <v>194</v>
      </c>
      <c r="F110" s="176" t="s">
        <v>195</v>
      </c>
      <c r="G110" s="176" t="s">
        <v>12</v>
      </c>
      <c r="H110" s="176" t="s">
        <v>19</v>
      </c>
      <c r="I110" s="176" t="s">
        <v>743</v>
      </c>
      <c r="J110" s="176" t="s">
        <v>1011</v>
      </c>
      <c r="K110" s="176" t="s">
        <v>263</v>
      </c>
      <c r="L110" s="182">
        <v>26.4</v>
      </c>
      <c r="M110" s="182">
        <v>-4.5999999999999996</v>
      </c>
      <c r="N110" s="182">
        <v>-4.0999999999999996</v>
      </c>
      <c r="O110" s="183" t="s">
        <v>754</v>
      </c>
      <c r="P110" s="183">
        <v>7.5</v>
      </c>
      <c r="Q110" s="191">
        <v>-0.2</v>
      </c>
      <c r="R110" s="182">
        <v>2.5</v>
      </c>
      <c r="S110" s="182">
        <v>-4.4000000000000004</v>
      </c>
      <c r="T110" s="182">
        <v>3.2</v>
      </c>
      <c r="U110" s="182">
        <v>-1.6</v>
      </c>
      <c r="V110" s="182">
        <v>1.8</v>
      </c>
      <c r="W110" s="182">
        <v>5.7</v>
      </c>
      <c r="X110" s="182">
        <v>-0.9</v>
      </c>
      <c r="Y110" s="183" t="s">
        <v>756</v>
      </c>
      <c r="Z110" s="177"/>
      <c r="AA110" s="177"/>
      <c r="AB110" s="183">
        <v>2.2000000000000002</v>
      </c>
      <c r="AC110" s="173" t="s">
        <v>744</v>
      </c>
      <c r="AD110" s="177"/>
      <c r="AE110" s="189">
        <v>3</v>
      </c>
      <c r="AF110" s="183" t="s">
        <v>1039</v>
      </c>
      <c r="AG110" s="183"/>
      <c r="AH110" s="183">
        <v>1.9</v>
      </c>
      <c r="AI110" s="184">
        <v>23.742899999999999</v>
      </c>
      <c r="AJ110" s="176">
        <v>8</v>
      </c>
      <c r="AK110" s="176"/>
      <c r="AL110" s="182">
        <f t="shared" si="13"/>
        <v>38.4</v>
      </c>
      <c r="AM110" s="185" t="s">
        <v>19</v>
      </c>
      <c r="AN110" s="183" t="s">
        <v>999</v>
      </c>
      <c r="AO110" s="183" t="s">
        <v>545</v>
      </c>
      <c r="AP110" s="186">
        <f t="shared" si="10"/>
        <v>0.6333333333333333</v>
      </c>
      <c r="AQ110" s="187">
        <v>3</v>
      </c>
      <c r="AR110" s="188">
        <f t="shared" si="6"/>
        <v>5.7</v>
      </c>
      <c r="AS110" s="188">
        <f t="shared" si="7"/>
        <v>0</v>
      </c>
      <c r="AT110" s="188">
        <f t="shared" si="7"/>
        <v>3</v>
      </c>
      <c r="AU110" s="188">
        <f t="shared" si="8"/>
        <v>1.9</v>
      </c>
      <c r="AV110" s="188">
        <f t="shared" si="9"/>
        <v>4.9000000000000004</v>
      </c>
    </row>
    <row r="111" spans="1:48">
      <c r="A111" s="176">
        <v>801</v>
      </c>
      <c r="B111" s="180"/>
      <c r="C111" s="176" t="s">
        <v>953</v>
      </c>
      <c r="D111" s="176" t="s">
        <v>196</v>
      </c>
      <c r="E111" s="176" t="s">
        <v>197</v>
      </c>
      <c r="F111" s="176" t="s">
        <v>198</v>
      </c>
      <c r="G111" s="176" t="s">
        <v>9</v>
      </c>
      <c r="H111" s="176" t="s">
        <v>10</v>
      </c>
      <c r="I111" s="176" t="s">
        <v>743</v>
      </c>
      <c r="J111" s="176" t="s">
        <v>141</v>
      </c>
      <c r="K111" s="176" t="s">
        <v>1023</v>
      </c>
      <c r="L111" s="177"/>
      <c r="M111" s="181"/>
      <c r="N111" s="183" t="s">
        <v>754</v>
      </c>
      <c r="O111" s="183">
        <v>-8.6999999999999993</v>
      </c>
      <c r="P111" s="182">
        <v>15.2</v>
      </c>
      <c r="Q111" s="182">
        <v>2.9</v>
      </c>
      <c r="R111" s="182">
        <v>10.5</v>
      </c>
      <c r="S111" s="183" t="s">
        <v>754</v>
      </c>
      <c r="T111" s="183">
        <v>-0.8</v>
      </c>
      <c r="U111" s="183" t="s">
        <v>754</v>
      </c>
      <c r="V111" s="183">
        <v>91</v>
      </c>
      <c r="W111" s="185" t="s">
        <v>775</v>
      </c>
      <c r="X111" s="177"/>
      <c r="Y111" s="177"/>
      <c r="Z111" s="177"/>
      <c r="AA111" s="177"/>
      <c r="AB111" s="183">
        <v>-67.400000000000006</v>
      </c>
      <c r="AC111" s="173" t="s">
        <v>744</v>
      </c>
      <c r="AD111" s="177"/>
      <c r="AE111" s="181">
        <v>4.0999999999999996</v>
      </c>
      <c r="AF111" s="173" t="s">
        <v>744</v>
      </c>
      <c r="AG111" s="183"/>
      <c r="AH111" s="183">
        <v>6.1</v>
      </c>
      <c r="AI111" s="184">
        <v>28.400500000000001</v>
      </c>
      <c r="AJ111" s="176">
        <v>8</v>
      </c>
      <c r="AK111" s="176"/>
      <c r="AL111" s="182">
        <f t="shared" si="13"/>
        <v>52.899999999999991</v>
      </c>
      <c r="AM111" s="185" t="s">
        <v>10</v>
      </c>
      <c r="AN111" s="183" t="s">
        <v>999</v>
      </c>
      <c r="AO111" s="183" t="s">
        <v>545</v>
      </c>
      <c r="AP111" s="186">
        <f t="shared" si="10"/>
        <v>2.0333333333333332</v>
      </c>
      <c r="AQ111" s="187">
        <v>3</v>
      </c>
      <c r="AR111" s="188" t="str">
        <f t="shared" si="6"/>
        <v>６年累積</v>
      </c>
      <c r="AS111" s="188">
        <f t="shared" si="7"/>
        <v>0</v>
      </c>
      <c r="AT111" s="188">
        <f t="shared" si="7"/>
        <v>4.0999999999999996</v>
      </c>
      <c r="AU111" s="188">
        <f t="shared" si="8"/>
        <v>6.1</v>
      </c>
      <c r="AV111" s="188">
        <f t="shared" si="9"/>
        <v>10.199999999999999</v>
      </c>
    </row>
    <row r="112" spans="1:48">
      <c r="A112" s="176">
        <v>802</v>
      </c>
      <c r="B112" s="180"/>
      <c r="C112" s="176" t="s">
        <v>954</v>
      </c>
      <c r="D112" s="176" t="s">
        <v>196</v>
      </c>
      <c r="E112" s="176" t="s">
        <v>199</v>
      </c>
      <c r="F112" s="176" t="s">
        <v>200</v>
      </c>
      <c r="G112" s="176" t="s">
        <v>12</v>
      </c>
      <c r="H112" s="176" t="s">
        <v>10</v>
      </c>
      <c r="I112" s="176" t="s">
        <v>743</v>
      </c>
      <c r="J112" s="176" t="s">
        <v>141</v>
      </c>
      <c r="K112" s="176" t="s">
        <v>1023</v>
      </c>
      <c r="L112" s="177"/>
      <c r="M112" s="177"/>
      <c r="N112" s="182">
        <v>-3.6</v>
      </c>
      <c r="O112" s="182">
        <v>-3.9</v>
      </c>
      <c r="P112" s="182">
        <v>13.7</v>
      </c>
      <c r="Q112" s="182">
        <v>4.8</v>
      </c>
      <c r="R112" s="182">
        <v>12.3</v>
      </c>
      <c r="S112" s="183" t="s">
        <v>754</v>
      </c>
      <c r="T112" s="183">
        <v>-2.9</v>
      </c>
      <c r="U112" s="183" t="s">
        <v>754</v>
      </c>
      <c r="V112" s="183">
        <v>-0.5</v>
      </c>
      <c r="W112" s="185" t="s">
        <v>775</v>
      </c>
      <c r="X112" s="177"/>
      <c r="Y112" s="177"/>
      <c r="Z112" s="177"/>
      <c r="AA112" s="177"/>
      <c r="AB112" s="183">
        <v>30.2</v>
      </c>
      <c r="AC112" s="173" t="s">
        <v>744</v>
      </c>
      <c r="AD112" s="177"/>
      <c r="AE112" s="181">
        <v>9.1999999999999993</v>
      </c>
      <c r="AF112" s="173" t="s">
        <v>744</v>
      </c>
      <c r="AG112" s="183"/>
      <c r="AH112" s="183">
        <v>8.1</v>
      </c>
      <c r="AI112" s="184">
        <v>23.6859</v>
      </c>
      <c r="AJ112" s="176">
        <v>8</v>
      </c>
      <c r="AK112" s="176"/>
      <c r="AL112" s="182">
        <f t="shared" si="13"/>
        <v>67.399999999999991</v>
      </c>
      <c r="AM112" s="185" t="s">
        <v>10</v>
      </c>
      <c r="AN112" s="183" t="s">
        <v>999</v>
      </c>
      <c r="AO112" s="183" t="s">
        <v>545</v>
      </c>
      <c r="AP112" s="186">
        <f t="shared" si="10"/>
        <v>2.6999999999999997</v>
      </c>
      <c r="AQ112" s="187">
        <v>3</v>
      </c>
      <c r="AR112" s="188" t="str">
        <f t="shared" si="6"/>
        <v>６年累積</v>
      </c>
      <c r="AS112" s="188">
        <f t="shared" si="7"/>
        <v>0</v>
      </c>
      <c r="AT112" s="188">
        <f t="shared" si="7"/>
        <v>9.1999999999999993</v>
      </c>
      <c r="AU112" s="188">
        <f t="shared" si="8"/>
        <v>8.1</v>
      </c>
      <c r="AV112" s="188">
        <f t="shared" si="9"/>
        <v>17.299999999999997</v>
      </c>
    </row>
    <row r="113" spans="1:48">
      <c r="A113" s="176">
        <v>803</v>
      </c>
      <c r="B113" s="180"/>
      <c r="C113" s="176" t="s">
        <v>955</v>
      </c>
      <c r="D113" s="176" t="s">
        <v>196</v>
      </c>
      <c r="E113" s="176" t="s">
        <v>201</v>
      </c>
      <c r="F113" s="176" t="s">
        <v>202</v>
      </c>
      <c r="G113" s="176" t="s">
        <v>12</v>
      </c>
      <c r="H113" s="176" t="s">
        <v>10</v>
      </c>
      <c r="I113" s="176" t="s">
        <v>743</v>
      </c>
      <c r="J113" s="176" t="s">
        <v>141</v>
      </c>
      <c r="K113" s="176" t="s">
        <v>1023</v>
      </c>
      <c r="L113" s="177"/>
      <c r="M113" s="177"/>
      <c r="N113" s="182">
        <v>-2.6</v>
      </c>
      <c r="O113" s="182">
        <v>-3.3</v>
      </c>
      <c r="P113" s="182">
        <v>11.7</v>
      </c>
      <c r="Q113" s="182">
        <v>5</v>
      </c>
      <c r="R113" s="182">
        <v>12.9</v>
      </c>
      <c r="S113" s="183" t="s">
        <v>754</v>
      </c>
      <c r="T113" s="183">
        <v>4.7</v>
      </c>
      <c r="U113" s="185" t="s">
        <v>759</v>
      </c>
      <c r="V113" s="177"/>
      <c r="W113" s="177"/>
      <c r="X113" s="177"/>
      <c r="Y113" s="177"/>
      <c r="Z113" s="177"/>
      <c r="AA113" s="177"/>
      <c r="AB113" s="183">
        <v>21.7</v>
      </c>
      <c r="AC113" s="173" t="s">
        <v>744</v>
      </c>
      <c r="AD113" s="177"/>
      <c r="AE113" s="181">
        <v>9.9</v>
      </c>
      <c r="AF113" s="173" t="s">
        <v>744</v>
      </c>
      <c r="AG113" s="183"/>
      <c r="AH113" s="183">
        <v>7.4</v>
      </c>
      <c r="AI113" s="184">
        <v>47.278399999999998</v>
      </c>
      <c r="AJ113" s="176">
        <v>8</v>
      </c>
      <c r="AK113" s="176"/>
      <c r="AL113" s="182">
        <f t="shared" si="13"/>
        <v>67.399999999999991</v>
      </c>
      <c r="AM113" s="185" t="s">
        <v>10</v>
      </c>
      <c r="AN113" s="183" t="s">
        <v>999</v>
      </c>
      <c r="AO113" s="183" t="s">
        <v>545</v>
      </c>
      <c r="AP113" s="186">
        <f t="shared" si="10"/>
        <v>2.4666666666666668</v>
      </c>
      <c r="AQ113" s="187">
        <v>3</v>
      </c>
      <c r="AR113" s="188">
        <f t="shared" si="6"/>
        <v>0</v>
      </c>
      <c r="AS113" s="188">
        <f t="shared" si="7"/>
        <v>0</v>
      </c>
      <c r="AT113" s="188">
        <f t="shared" si="7"/>
        <v>9.9</v>
      </c>
      <c r="AU113" s="188">
        <f t="shared" si="8"/>
        <v>7.4</v>
      </c>
      <c r="AV113" s="188">
        <f t="shared" si="9"/>
        <v>17.3</v>
      </c>
    </row>
    <row r="114" spans="1:48">
      <c r="A114" s="176">
        <v>804</v>
      </c>
      <c r="B114" s="180"/>
      <c r="C114" s="176" t="s">
        <v>956</v>
      </c>
      <c r="D114" s="176" t="s">
        <v>196</v>
      </c>
      <c r="E114" s="176" t="s">
        <v>203</v>
      </c>
      <c r="F114" s="176" t="s">
        <v>290</v>
      </c>
      <c r="G114" s="176" t="s">
        <v>9</v>
      </c>
      <c r="H114" s="176" t="s">
        <v>10</v>
      </c>
      <c r="I114" s="176" t="s">
        <v>743</v>
      </c>
      <c r="J114" s="176" t="s">
        <v>141</v>
      </c>
      <c r="K114" s="176" t="s">
        <v>1023</v>
      </c>
      <c r="L114" s="177"/>
      <c r="M114" s="181"/>
      <c r="N114" s="183" t="s">
        <v>754</v>
      </c>
      <c r="O114" s="183">
        <v>19.600000000000001</v>
      </c>
      <c r="P114" s="182">
        <v>11.4</v>
      </c>
      <c r="Q114" s="182">
        <v>3.5</v>
      </c>
      <c r="R114" s="182">
        <v>7.4</v>
      </c>
      <c r="S114" s="183" t="s">
        <v>754</v>
      </c>
      <c r="T114" s="183">
        <v>0.8</v>
      </c>
      <c r="U114" s="185" t="s">
        <v>759</v>
      </c>
      <c r="V114" s="177"/>
      <c r="W114" s="177"/>
      <c r="X114" s="177"/>
      <c r="Y114" s="177"/>
      <c r="Z114" s="177"/>
      <c r="AA114" s="177"/>
      <c r="AB114" s="183">
        <v>22.7</v>
      </c>
      <c r="AC114" s="173" t="s">
        <v>775</v>
      </c>
      <c r="AD114" s="177"/>
      <c r="AE114" s="177"/>
      <c r="AF114" s="183"/>
      <c r="AG114" s="183"/>
      <c r="AH114" s="183">
        <v>19.2</v>
      </c>
      <c r="AI114" s="184">
        <v>39.233600000000003</v>
      </c>
      <c r="AJ114" s="176">
        <v>8</v>
      </c>
      <c r="AK114" s="176"/>
      <c r="AL114" s="182">
        <f t="shared" si="13"/>
        <v>84.6</v>
      </c>
      <c r="AM114" s="185" t="s">
        <v>10</v>
      </c>
      <c r="AN114" s="183" t="s">
        <v>999</v>
      </c>
      <c r="AO114" s="183" t="s">
        <v>545</v>
      </c>
      <c r="AP114" s="186">
        <f t="shared" si="10"/>
        <v>3.1999999999999997</v>
      </c>
      <c r="AQ114" s="187">
        <v>6</v>
      </c>
      <c r="AR114" s="188">
        <f t="shared" si="6"/>
        <v>0</v>
      </c>
      <c r="AS114" s="188">
        <f t="shared" si="7"/>
        <v>0</v>
      </c>
      <c r="AT114" s="188">
        <f t="shared" si="7"/>
        <v>0</v>
      </c>
      <c r="AU114" s="188">
        <f t="shared" si="8"/>
        <v>19.2</v>
      </c>
      <c r="AV114" s="188">
        <f t="shared" si="9"/>
        <v>19.2</v>
      </c>
    </row>
    <row r="115" spans="1:48">
      <c r="A115" s="176">
        <v>805</v>
      </c>
      <c r="B115" s="180"/>
      <c r="C115" s="176" t="s">
        <v>958</v>
      </c>
      <c r="D115" s="176" t="s">
        <v>196</v>
      </c>
      <c r="E115" s="176" t="s">
        <v>204</v>
      </c>
      <c r="F115" s="176" t="s">
        <v>205</v>
      </c>
      <c r="G115" s="176" t="s">
        <v>9</v>
      </c>
      <c r="H115" s="176" t="s">
        <v>127</v>
      </c>
      <c r="I115" s="176" t="s">
        <v>743</v>
      </c>
      <c r="J115" s="176" t="s">
        <v>141</v>
      </c>
      <c r="K115" s="176" t="s">
        <v>1023</v>
      </c>
      <c r="L115" s="177"/>
      <c r="M115" s="177"/>
      <c r="N115" s="177"/>
      <c r="O115" s="177"/>
      <c r="P115" s="177"/>
      <c r="Q115" s="177"/>
      <c r="R115" s="182">
        <v>6.1</v>
      </c>
      <c r="S115" s="183" t="s">
        <v>754</v>
      </c>
      <c r="T115" s="183">
        <v>1.9</v>
      </c>
      <c r="U115" s="185" t="s">
        <v>759</v>
      </c>
      <c r="V115" s="177"/>
      <c r="W115" s="177"/>
      <c r="X115" s="177"/>
      <c r="Y115" s="177"/>
      <c r="Z115" s="177"/>
      <c r="AA115" s="177"/>
      <c r="AB115" s="183">
        <v>28</v>
      </c>
      <c r="AC115" s="173" t="s">
        <v>775</v>
      </c>
      <c r="AD115" s="177"/>
      <c r="AE115" s="177"/>
      <c r="AF115" s="177"/>
      <c r="AG115" s="183"/>
      <c r="AH115" s="183">
        <v>19.8</v>
      </c>
      <c r="AI115" s="184">
        <v>22.272300000000001</v>
      </c>
      <c r="AJ115" s="176">
        <v>8</v>
      </c>
      <c r="AK115" s="176"/>
      <c r="AL115" s="182">
        <f t="shared" si="13"/>
        <v>55.8</v>
      </c>
      <c r="AM115" s="185" t="s">
        <v>127</v>
      </c>
      <c r="AN115" s="183" t="s">
        <v>999</v>
      </c>
      <c r="AO115" s="183" t="s">
        <v>545</v>
      </c>
      <c r="AP115" s="186">
        <f t="shared" si="10"/>
        <v>3.3000000000000003</v>
      </c>
      <c r="AQ115" s="187">
        <v>6</v>
      </c>
      <c r="AR115" s="188">
        <f t="shared" si="6"/>
        <v>0</v>
      </c>
      <c r="AS115" s="188">
        <f t="shared" si="7"/>
        <v>0</v>
      </c>
      <c r="AT115" s="188">
        <f t="shared" si="7"/>
        <v>0</v>
      </c>
      <c r="AU115" s="188">
        <f t="shared" si="8"/>
        <v>19.8</v>
      </c>
      <c r="AV115" s="188">
        <f t="shared" si="9"/>
        <v>19.8</v>
      </c>
    </row>
    <row r="116" spans="1:48">
      <c r="A116" s="176">
        <v>806</v>
      </c>
      <c r="B116" s="180"/>
      <c r="C116" s="176" t="s">
        <v>959</v>
      </c>
      <c r="D116" s="176" t="s">
        <v>196</v>
      </c>
      <c r="E116" s="176" t="s">
        <v>206</v>
      </c>
      <c r="F116" s="176" t="s">
        <v>207</v>
      </c>
      <c r="G116" s="176" t="s">
        <v>9</v>
      </c>
      <c r="H116" s="176" t="s">
        <v>31</v>
      </c>
      <c r="I116" s="176" t="s">
        <v>743</v>
      </c>
      <c r="J116" s="176" t="s">
        <v>141</v>
      </c>
      <c r="K116" s="176" t="s">
        <v>1023</v>
      </c>
      <c r="L116" s="177"/>
      <c r="M116" s="177"/>
      <c r="N116" s="177"/>
      <c r="O116" s="177"/>
      <c r="P116" s="177"/>
      <c r="Q116" s="182">
        <v>9.1999999999999993</v>
      </c>
      <c r="R116" s="182">
        <v>10.8</v>
      </c>
      <c r="S116" s="183" t="s">
        <v>754</v>
      </c>
      <c r="T116" s="183">
        <v>-5.7</v>
      </c>
      <c r="U116" s="185" t="s">
        <v>759</v>
      </c>
      <c r="V116" s="177"/>
      <c r="W116" s="177"/>
      <c r="X116" s="177"/>
      <c r="Y116" s="177"/>
      <c r="Z116" s="177"/>
      <c r="AA116" s="177"/>
      <c r="AB116" s="183">
        <v>32.9</v>
      </c>
      <c r="AC116" s="173" t="s">
        <v>775</v>
      </c>
      <c r="AD116" s="177"/>
      <c r="AE116" s="177"/>
      <c r="AF116" s="183"/>
      <c r="AG116" s="183"/>
      <c r="AH116" s="183">
        <v>27</v>
      </c>
      <c r="AI116" s="184">
        <v>28.846900000000002</v>
      </c>
      <c r="AJ116" s="176">
        <v>8</v>
      </c>
      <c r="AK116" s="176"/>
      <c r="AL116" s="182">
        <f t="shared" si="13"/>
        <v>74.2</v>
      </c>
      <c r="AM116" s="185" t="s">
        <v>31</v>
      </c>
      <c r="AN116" s="183" t="s">
        <v>999</v>
      </c>
      <c r="AO116" s="183" t="s">
        <v>545</v>
      </c>
      <c r="AP116" s="186">
        <f t="shared" si="10"/>
        <v>4.5</v>
      </c>
      <c r="AQ116" s="187">
        <v>6</v>
      </c>
      <c r="AR116" s="188">
        <f t="shared" si="6"/>
        <v>0</v>
      </c>
      <c r="AS116" s="188">
        <f t="shared" si="7"/>
        <v>0</v>
      </c>
      <c r="AT116" s="188">
        <f t="shared" si="7"/>
        <v>0</v>
      </c>
      <c r="AU116" s="188">
        <f t="shared" si="8"/>
        <v>27</v>
      </c>
      <c r="AV116" s="188">
        <f t="shared" si="9"/>
        <v>27</v>
      </c>
    </row>
    <row r="117" spans="1:48">
      <c r="A117" s="176">
        <v>807</v>
      </c>
      <c r="B117" s="180"/>
      <c r="C117" s="176" t="s">
        <v>960</v>
      </c>
      <c r="D117" s="176" t="s">
        <v>196</v>
      </c>
      <c r="E117" s="176" t="s">
        <v>208</v>
      </c>
      <c r="F117" s="176" t="s">
        <v>209</v>
      </c>
      <c r="G117" s="176" t="s">
        <v>12</v>
      </c>
      <c r="H117" s="176" t="s">
        <v>31</v>
      </c>
      <c r="I117" s="176" t="s">
        <v>743</v>
      </c>
      <c r="J117" s="176" t="s">
        <v>54</v>
      </c>
      <c r="K117" s="176" t="s">
        <v>291</v>
      </c>
      <c r="L117" s="177"/>
      <c r="M117" s="177"/>
      <c r="N117" s="177"/>
      <c r="O117" s="177"/>
      <c r="P117" s="177"/>
      <c r="Q117" s="182">
        <v>13.4</v>
      </c>
      <c r="R117" s="182">
        <v>12.2</v>
      </c>
      <c r="S117" s="182">
        <v>11.7</v>
      </c>
      <c r="T117" s="182">
        <v>9.9</v>
      </c>
      <c r="U117" s="182">
        <v>7.2</v>
      </c>
      <c r="V117" s="182">
        <v>11.3</v>
      </c>
      <c r="W117" s="185" t="s">
        <v>775</v>
      </c>
      <c r="X117" s="177"/>
      <c r="Y117" s="177"/>
      <c r="Z117" s="177"/>
      <c r="AA117" s="177"/>
      <c r="AB117" s="183">
        <v>42.6</v>
      </c>
      <c r="AC117" s="173" t="s">
        <v>744</v>
      </c>
      <c r="AD117" s="177"/>
      <c r="AE117" s="181">
        <v>23.7</v>
      </c>
      <c r="AF117" s="173" t="s">
        <v>744</v>
      </c>
      <c r="AG117" s="183"/>
      <c r="AH117" s="183">
        <v>15</v>
      </c>
      <c r="AI117" s="184">
        <v>11.5901</v>
      </c>
      <c r="AJ117" s="176">
        <v>8</v>
      </c>
      <c r="AK117" s="176"/>
      <c r="AL117" s="182">
        <f t="shared" si="13"/>
        <v>147</v>
      </c>
      <c r="AM117" s="185" t="s">
        <v>31</v>
      </c>
      <c r="AN117" s="183" t="s">
        <v>999</v>
      </c>
      <c r="AO117" s="183" t="s">
        <v>545</v>
      </c>
      <c r="AP117" s="186">
        <f t="shared" si="10"/>
        <v>5</v>
      </c>
      <c r="AQ117" s="187">
        <v>3</v>
      </c>
      <c r="AR117" s="188" t="str">
        <f t="shared" si="6"/>
        <v>６年累積</v>
      </c>
      <c r="AS117" s="188">
        <f t="shared" si="7"/>
        <v>0</v>
      </c>
      <c r="AT117" s="188">
        <f t="shared" si="7"/>
        <v>23.7</v>
      </c>
      <c r="AU117" s="188">
        <f t="shared" si="8"/>
        <v>15</v>
      </c>
      <c r="AV117" s="188">
        <f t="shared" si="9"/>
        <v>38.700000000000003</v>
      </c>
    </row>
    <row r="118" spans="1:48">
      <c r="A118" s="176">
        <v>808</v>
      </c>
      <c r="B118" s="180"/>
      <c r="C118" s="176" t="s">
        <v>961</v>
      </c>
      <c r="D118" s="176" t="s">
        <v>196</v>
      </c>
      <c r="E118" s="176" t="s">
        <v>210</v>
      </c>
      <c r="F118" s="176" t="s">
        <v>211</v>
      </c>
      <c r="G118" s="176" t="s">
        <v>12</v>
      </c>
      <c r="H118" s="176" t="s">
        <v>10</v>
      </c>
      <c r="I118" s="176" t="s">
        <v>743</v>
      </c>
      <c r="J118" s="176" t="s">
        <v>141</v>
      </c>
      <c r="K118" s="176" t="s">
        <v>1023</v>
      </c>
      <c r="L118" s="177"/>
      <c r="M118" s="177"/>
      <c r="N118" s="182">
        <v>-1.7</v>
      </c>
      <c r="O118" s="182">
        <v>-6</v>
      </c>
      <c r="P118" s="182">
        <v>13.3</v>
      </c>
      <c r="Q118" s="182">
        <v>4.8</v>
      </c>
      <c r="R118" s="182">
        <v>15.8</v>
      </c>
      <c r="S118" s="182">
        <v>-6.4</v>
      </c>
      <c r="T118" s="182">
        <v>-1.9</v>
      </c>
      <c r="U118" s="183" t="s">
        <v>754</v>
      </c>
      <c r="V118" s="183">
        <v>-1.7</v>
      </c>
      <c r="W118" s="185" t="s">
        <v>775</v>
      </c>
      <c r="X118" s="177"/>
      <c r="Y118" s="177"/>
      <c r="Z118" s="177"/>
      <c r="AA118" s="177"/>
      <c r="AB118" s="183">
        <v>29.1</v>
      </c>
      <c r="AC118" s="173" t="s">
        <v>744</v>
      </c>
      <c r="AD118" s="177"/>
      <c r="AE118" s="181">
        <v>13.3</v>
      </c>
      <c r="AF118" s="173" t="s">
        <v>744</v>
      </c>
      <c r="AG118" s="183"/>
      <c r="AH118" s="183">
        <v>8.1</v>
      </c>
      <c r="AI118" s="184">
        <v>22.674199999999999</v>
      </c>
      <c r="AJ118" s="176">
        <v>8</v>
      </c>
      <c r="AK118" s="176"/>
      <c r="AL118" s="182">
        <f t="shared" si="13"/>
        <v>66.7</v>
      </c>
      <c r="AM118" s="185" t="s">
        <v>10</v>
      </c>
      <c r="AN118" s="183" t="s">
        <v>999</v>
      </c>
      <c r="AO118" s="183" t="s">
        <v>545</v>
      </c>
      <c r="AP118" s="186">
        <f t="shared" si="10"/>
        <v>2.6999999999999997</v>
      </c>
      <c r="AQ118" s="187">
        <v>3</v>
      </c>
      <c r="AR118" s="188" t="str">
        <f t="shared" si="6"/>
        <v>６年累積</v>
      </c>
      <c r="AS118" s="188">
        <f t="shared" si="7"/>
        <v>0</v>
      </c>
      <c r="AT118" s="188">
        <f t="shared" si="7"/>
        <v>13.3</v>
      </c>
      <c r="AU118" s="188">
        <f t="shared" si="8"/>
        <v>8.1</v>
      </c>
      <c r="AV118" s="188">
        <f t="shared" si="9"/>
        <v>21.4</v>
      </c>
    </row>
    <row r="119" spans="1:48">
      <c r="A119" s="176">
        <v>809</v>
      </c>
      <c r="B119" s="180"/>
      <c r="C119" s="176" t="s">
        <v>962</v>
      </c>
      <c r="D119" s="176" t="s">
        <v>196</v>
      </c>
      <c r="E119" s="176" t="s">
        <v>212</v>
      </c>
      <c r="F119" s="176" t="s">
        <v>213</v>
      </c>
      <c r="G119" s="176" t="s">
        <v>9</v>
      </c>
      <c r="H119" s="176" t="s">
        <v>10</v>
      </c>
      <c r="I119" s="176" t="s">
        <v>743</v>
      </c>
      <c r="J119" s="176" t="s">
        <v>141</v>
      </c>
      <c r="K119" s="176" t="s">
        <v>1023</v>
      </c>
      <c r="L119" s="177"/>
      <c r="M119" s="181"/>
      <c r="N119" s="183" t="s">
        <v>754</v>
      </c>
      <c r="O119" s="183">
        <v>-5.4</v>
      </c>
      <c r="P119" s="182">
        <v>15.1</v>
      </c>
      <c r="Q119" s="182">
        <v>1.9</v>
      </c>
      <c r="R119" s="182">
        <v>15.5</v>
      </c>
      <c r="S119" s="182">
        <v>-3.2</v>
      </c>
      <c r="T119" s="182">
        <v>-0.2</v>
      </c>
      <c r="U119" s="183" t="s">
        <v>754</v>
      </c>
      <c r="V119" s="183">
        <v>-0.5</v>
      </c>
      <c r="W119" s="185" t="s">
        <v>775</v>
      </c>
      <c r="X119" s="177"/>
      <c r="Y119" s="177"/>
      <c r="Z119" s="177"/>
      <c r="AA119" s="177"/>
      <c r="AB119" s="183">
        <v>25</v>
      </c>
      <c r="AC119" s="173" t="s">
        <v>744</v>
      </c>
      <c r="AD119" s="177"/>
      <c r="AE119" s="181">
        <v>12.8</v>
      </c>
      <c r="AF119" s="173" t="s">
        <v>744</v>
      </c>
      <c r="AG119" s="183"/>
      <c r="AH119" s="183">
        <v>6.9</v>
      </c>
      <c r="AI119" s="184">
        <v>16.861999999999998</v>
      </c>
      <c r="AJ119" s="176">
        <v>8</v>
      </c>
      <c r="AK119" s="176"/>
      <c r="AL119" s="182">
        <f t="shared" si="13"/>
        <v>67.900000000000006</v>
      </c>
      <c r="AM119" s="185" t="s">
        <v>10</v>
      </c>
      <c r="AN119" s="183" t="s">
        <v>999</v>
      </c>
      <c r="AO119" s="183" t="s">
        <v>545</v>
      </c>
      <c r="AP119" s="186">
        <f t="shared" si="10"/>
        <v>2.3000000000000003</v>
      </c>
      <c r="AQ119" s="187">
        <v>3</v>
      </c>
      <c r="AR119" s="188" t="str">
        <f t="shared" si="6"/>
        <v>６年累積</v>
      </c>
      <c r="AS119" s="188">
        <f t="shared" si="7"/>
        <v>0</v>
      </c>
      <c r="AT119" s="188">
        <f t="shared" si="7"/>
        <v>12.8</v>
      </c>
      <c r="AU119" s="188">
        <f t="shared" si="8"/>
        <v>6.9</v>
      </c>
      <c r="AV119" s="188">
        <f t="shared" si="9"/>
        <v>19.700000000000003</v>
      </c>
    </row>
    <row r="120" spans="1:48">
      <c r="A120" s="176">
        <v>810</v>
      </c>
      <c r="B120" s="180"/>
      <c r="C120" s="176" t="s">
        <v>963</v>
      </c>
      <c r="D120" s="176" t="s">
        <v>196</v>
      </c>
      <c r="E120" s="176" t="s">
        <v>214</v>
      </c>
      <c r="F120" s="176" t="s">
        <v>215</v>
      </c>
      <c r="G120" s="176" t="s">
        <v>9</v>
      </c>
      <c r="H120" s="176" t="s">
        <v>10</v>
      </c>
      <c r="I120" s="176" t="s">
        <v>743</v>
      </c>
      <c r="J120" s="176" t="s">
        <v>54</v>
      </c>
      <c r="K120" s="176" t="s">
        <v>270</v>
      </c>
      <c r="L120" s="177"/>
      <c r="M120" s="181"/>
      <c r="N120" s="183" t="s">
        <v>754</v>
      </c>
      <c r="O120" s="183">
        <v>21.7</v>
      </c>
      <c r="P120" s="182">
        <v>40.9</v>
      </c>
      <c r="Q120" s="182">
        <v>25.7</v>
      </c>
      <c r="R120" s="182">
        <v>24.8</v>
      </c>
      <c r="S120" s="182">
        <v>-2.1</v>
      </c>
      <c r="T120" s="182">
        <v>57.7</v>
      </c>
      <c r="U120" s="182" t="s">
        <v>770</v>
      </c>
      <c r="V120" s="182" t="s">
        <v>770</v>
      </c>
      <c r="W120" s="185" t="s">
        <v>775</v>
      </c>
      <c r="X120" s="177"/>
      <c r="Y120" s="177"/>
      <c r="Z120" s="177"/>
      <c r="AA120" s="177"/>
      <c r="AB120" s="183">
        <v>83</v>
      </c>
      <c r="AC120" s="173" t="s">
        <v>744</v>
      </c>
      <c r="AD120" s="177"/>
      <c r="AE120" s="181">
        <v>48.5</v>
      </c>
      <c r="AF120" s="173" t="s">
        <v>744</v>
      </c>
      <c r="AG120" s="183"/>
      <c r="AH120" s="183">
        <v>51.6</v>
      </c>
      <c r="AI120" s="184">
        <v>7.7798999999999996</v>
      </c>
      <c r="AJ120" s="176">
        <v>8</v>
      </c>
      <c r="AK120" s="176" t="s">
        <v>964</v>
      </c>
      <c r="AL120" s="182">
        <f>SUM(AB120:AH120)</f>
        <v>183.1</v>
      </c>
      <c r="AM120" s="185" t="s">
        <v>614</v>
      </c>
      <c r="AN120" s="183" t="s">
        <v>999</v>
      </c>
      <c r="AO120" s="183" t="s">
        <v>545</v>
      </c>
      <c r="AP120" s="186">
        <f t="shared" si="10"/>
        <v>17.2</v>
      </c>
      <c r="AQ120" s="187">
        <v>3</v>
      </c>
      <c r="AR120" s="188" t="str">
        <f t="shared" si="6"/>
        <v>６年累積</v>
      </c>
      <c r="AS120" s="188">
        <f t="shared" si="7"/>
        <v>0</v>
      </c>
      <c r="AT120" s="188">
        <f t="shared" si="7"/>
        <v>48.5</v>
      </c>
      <c r="AU120" s="188">
        <f t="shared" si="8"/>
        <v>51.6</v>
      </c>
      <c r="AV120" s="188">
        <f t="shared" si="9"/>
        <v>100.1</v>
      </c>
    </row>
    <row r="121" spans="1:48">
      <c r="A121" s="176">
        <v>811</v>
      </c>
      <c r="B121" s="180"/>
      <c r="C121" s="176" t="s">
        <v>965</v>
      </c>
      <c r="D121" s="176" t="s">
        <v>196</v>
      </c>
      <c r="E121" s="176" t="s">
        <v>1040</v>
      </c>
      <c r="F121" s="176" t="s">
        <v>216</v>
      </c>
      <c r="G121" s="176" t="s">
        <v>9</v>
      </c>
      <c r="H121" s="176" t="s">
        <v>10</v>
      </c>
      <c r="I121" s="176" t="s">
        <v>64</v>
      </c>
      <c r="J121" s="176" t="s">
        <v>54</v>
      </c>
      <c r="K121" s="176" t="s">
        <v>270</v>
      </c>
      <c r="L121" s="177"/>
      <c r="M121" s="181"/>
      <c r="N121" s="183" t="s">
        <v>754</v>
      </c>
      <c r="O121" s="183">
        <v>67.400000000000006</v>
      </c>
      <c r="P121" s="182">
        <v>62.3</v>
      </c>
      <c r="Q121" s="182">
        <v>38.799999999999997</v>
      </c>
      <c r="R121" s="182">
        <v>24.3</v>
      </c>
      <c r="S121" s="182">
        <v>6.3</v>
      </c>
      <c r="T121" s="182">
        <v>28.1</v>
      </c>
      <c r="U121" s="182" t="s">
        <v>47</v>
      </c>
      <c r="V121" s="182">
        <v>65.099999999999994</v>
      </c>
      <c r="W121" s="185" t="s">
        <v>95</v>
      </c>
      <c r="X121" s="177"/>
      <c r="Y121" s="177"/>
      <c r="Z121" s="177"/>
      <c r="AA121" s="177"/>
      <c r="AB121" s="177"/>
      <c r="AC121" s="177"/>
      <c r="AD121" s="177"/>
      <c r="AE121" s="177"/>
      <c r="AF121" s="183"/>
      <c r="AG121" s="183"/>
      <c r="AH121" s="183">
        <v>254.1</v>
      </c>
      <c r="AI121" s="184">
        <v>6.6619000000000002</v>
      </c>
      <c r="AJ121" s="176">
        <v>8</v>
      </c>
      <c r="AK121" s="176" t="s">
        <v>967</v>
      </c>
      <c r="AL121" s="182">
        <f>SUM(V121:AH121)</f>
        <v>319.2</v>
      </c>
      <c r="AM121" s="185" t="s">
        <v>613</v>
      </c>
      <c r="AN121" s="183" t="s">
        <v>999</v>
      </c>
      <c r="AO121" s="183" t="s">
        <v>545</v>
      </c>
      <c r="AP121" s="186">
        <f t="shared" si="10"/>
        <v>21.175000000000001</v>
      </c>
      <c r="AQ121" s="187">
        <v>12</v>
      </c>
      <c r="AR121" s="188" t="str">
        <f t="shared" si="6"/>
        <v>12年累積</v>
      </c>
      <c r="AS121" s="188">
        <f t="shared" si="7"/>
        <v>0</v>
      </c>
      <c r="AT121" s="188">
        <f t="shared" si="7"/>
        <v>0</v>
      </c>
      <c r="AU121" s="188">
        <f t="shared" si="8"/>
        <v>254.1</v>
      </c>
      <c r="AV121" s="188">
        <f t="shared" si="9"/>
        <v>254.1</v>
      </c>
    </row>
    <row r="122" spans="1:48">
      <c r="A122" s="176">
        <v>812</v>
      </c>
      <c r="B122" s="180"/>
      <c r="C122" s="176" t="s">
        <v>968</v>
      </c>
      <c r="D122" s="176" t="s">
        <v>196</v>
      </c>
      <c r="E122" s="176" t="s">
        <v>1041</v>
      </c>
      <c r="F122" s="176" t="s">
        <v>292</v>
      </c>
      <c r="G122" s="176" t="s">
        <v>9</v>
      </c>
      <c r="H122" s="176" t="s">
        <v>10</v>
      </c>
      <c r="I122" s="176" t="s">
        <v>64</v>
      </c>
      <c r="J122" s="176" t="s">
        <v>54</v>
      </c>
      <c r="K122" s="176" t="s">
        <v>270</v>
      </c>
      <c r="L122" s="177"/>
      <c r="M122" s="181"/>
      <c r="N122" s="183" t="s">
        <v>754</v>
      </c>
      <c r="O122" s="183">
        <v>13.3</v>
      </c>
      <c r="P122" s="182">
        <v>14.8</v>
      </c>
      <c r="Q122" s="182">
        <v>7.1</v>
      </c>
      <c r="R122" s="182">
        <v>1.2</v>
      </c>
      <c r="S122" s="182">
        <v>-1.3</v>
      </c>
      <c r="T122" s="182">
        <v>11.3</v>
      </c>
      <c r="U122" s="182">
        <v>2.7</v>
      </c>
      <c r="V122" s="182">
        <v>14.2</v>
      </c>
      <c r="W122" s="185" t="s">
        <v>95</v>
      </c>
      <c r="X122" s="177"/>
      <c r="Y122" s="177"/>
      <c r="Z122" s="177"/>
      <c r="AA122" s="177"/>
      <c r="AB122" s="177"/>
      <c r="AC122" s="177"/>
      <c r="AD122" s="177"/>
      <c r="AE122" s="177"/>
      <c r="AF122" s="183"/>
      <c r="AG122" s="183"/>
      <c r="AH122" s="183">
        <v>59.8</v>
      </c>
      <c r="AI122" s="184">
        <v>4.2828999999999997</v>
      </c>
      <c r="AJ122" s="176">
        <v>8</v>
      </c>
      <c r="AK122" s="176"/>
      <c r="AL122" s="182">
        <f>SUM(L122:AH122)</f>
        <v>123.10000000000001</v>
      </c>
      <c r="AM122" s="185" t="s">
        <v>10</v>
      </c>
      <c r="AN122" s="183" t="s">
        <v>999</v>
      </c>
      <c r="AO122" s="183" t="s">
        <v>545</v>
      </c>
      <c r="AP122" s="186">
        <f t="shared" si="10"/>
        <v>4.9833333333333334</v>
      </c>
      <c r="AQ122" s="187">
        <v>12</v>
      </c>
      <c r="AR122" s="188" t="str">
        <f t="shared" si="6"/>
        <v>12年累積</v>
      </c>
      <c r="AS122" s="188">
        <f t="shared" si="7"/>
        <v>0</v>
      </c>
      <c r="AT122" s="188">
        <f t="shared" si="7"/>
        <v>0</v>
      </c>
      <c r="AU122" s="188">
        <f t="shared" si="8"/>
        <v>59.8</v>
      </c>
      <c r="AV122" s="188">
        <f t="shared" si="9"/>
        <v>59.8</v>
      </c>
    </row>
    <row r="123" spans="1:48">
      <c r="A123" s="176">
        <v>901</v>
      </c>
      <c r="B123" s="180"/>
      <c r="C123" s="176" t="s">
        <v>971</v>
      </c>
      <c r="D123" s="176" t="s">
        <v>217</v>
      </c>
      <c r="E123" s="176" t="s">
        <v>218</v>
      </c>
      <c r="F123" s="176" t="s">
        <v>219</v>
      </c>
      <c r="G123" s="176" t="s">
        <v>9</v>
      </c>
      <c r="H123" s="176" t="s">
        <v>31</v>
      </c>
      <c r="I123" s="176" t="s">
        <v>64</v>
      </c>
      <c r="J123" s="176" t="s">
        <v>220</v>
      </c>
      <c r="K123" s="176" t="s">
        <v>264</v>
      </c>
      <c r="L123" s="177"/>
      <c r="M123" s="177"/>
      <c r="N123" s="177"/>
      <c r="O123" s="177"/>
      <c r="P123" s="177"/>
      <c r="Q123" s="182">
        <v>3.5</v>
      </c>
      <c r="R123" s="182">
        <v>-3.1</v>
      </c>
      <c r="S123" s="183" t="s">
        <v>754</v>
      </c>
      <c r="T123" s="183">
        <v>-2.7</v>
      </c>
      <c r="U123" s="185" t="s">
        <v>754</v>
      </c>
      <c r="V123" s="183">
        <v>6.1</v>
      </c>
      <c r="W123" s="185" t="s">
        <v>95</v>
      </c>
      <c r="X123" s="177"/>
      <c r="Y123" s="177"/>
      <c r="Z123" s="177"/>
      <c r="AA123" s="177"/>
      <c r="AB123" s="177"/>
      <c r="AC123" s="177"/>
      <c r="AD123" s="177"/>
      <c r="AE123" s="177"/>
      <c r="AF123" s="183"/>
      <c r="AG123" s="183"/>
      <c r="AH123" s="183">
        <v>-2.4</v>
      </c>
      <c r="AI123" s="184">
        <v>5.1375000000000002</v>
      </c>
      <c r="AJ123" s="176">
        <v>8</v>
      </c>
      <c r="AK123" s="176"/>
      <c r="AL123" s="182">
        <f>SUM(L123:AH123)</f>
        <v>1.3999999999999995</v>
      </c>
      <c r="AM123" s="185" t="s">
        <v>31</v>
      </c>
      <c r="AN123" s="183" t="s">
        <v>999</v>
      </c>
      <c r="AO123" s="183" t="s">
        <v>545</v>
      </c>
      <c r="AP123" s="186">
        <f t="shared" si="10"/>
        <v>-0.19999999999999998</v>
      </c>
      <c r="AQ123" s="187">
        <v>12</v>
      </c>
      <c r="AR123" s="188" t="str">
        <f t="shared" si="6"/>
        <v>12年累積</v>
      </c>
      <c r="AS123" s="188">
        <f t="shared" si="7"/>
        <v>0</v>
      </c>
      <c r="AT123" s="188">
        <f t="shared" si="7"/>
        <v>0</v>
      </c>
      <c r="AU123" s="188">
        <f t="shared" si="8"/>
        <v>-2.4</v>
      </c>
      <c r="AV123" s="188">
        <f t="shared" si="9"/>
        <v>-2.4</v>
      </c>
    </row>
    <row r="124" spans="1:48">
      <c r="A124" s="176">
        <v>902</v>
      </c>
      <c r="B124" s="180"/>
      <c r="C124" s="176" t="s">
        <v>972</v>
      </c>
      <c r="D124" s="176" t="s">
        <v>217</v>
      </c>
      <c r="E124" s="176" t="s">
        <v>973</v>
      </c>
      <c r="F124" s="176" t="s">
        <v>974</v>
      </c>
      <c r="G124" s="176" t="s">
        <v>9</v>
      </c>
      <c r="H124" s="176" t="s">
        <v>31</v>
      </c>
      <c r="I124" s="176" t="s">
        <v>64</v>
      </c>
      <c r="J124" s="176" t="s">
        <v>220</v>
      </c>
      <c r="K124" s="176" t="s">
        <v>264</v>
      </c>
      <c r="L124" s="177"/>
      <c r="M124" s="177"/>
      <c r="N124" s="177"/>
      <c r="O124" s="177"/>
      <c r="P124" s="177"/>
      <c r="Q124" s="182">
        <v>6.3</v>
      </c>
      <c r="R124" s="182">
        <v>-1.4</v>
      </c>
      <c r="S124" s="183" t="s">
        <v>754</v>
      </c>
      <c r="T124" s="183">
        <v>-4.5999999999999996</v>
      </c>
      <c r="U124" s="185" t="s">
        <v>754</v>
      </c>
      <c r="V124" s="183">
        <v>7.5</v>
      </c>
      <c r="W124" s="173"/>
      <c r="X124" s="177"/>
      <c r="Y124" s="177"/>
      <c r="Z124" s="177"/>
      <c r="AA124" s="177"/>
      <c r="AB124" s="177"/>
      <c r="AC124" s="177"/>
      <c r="AD124" s="177"/>
      <c r="AE124" s="177"/>
      <c r="AF124" s="183"/>
      <c r="AG124" s="183"/>
      <c r="AH124" s="183"/>
      <c r="AI124" s="184">
        <v>5.4322999999999997</v>
      </c>
      <c r="AJ124" s="176">
        <v>59</v>
      </c>
      <c r="AK124" s="176" t="s">
        <v>20</v>
      </c>
      <c r="AL124" s="182"/>
      <c r="AM124" s="185"/>
      <c r="AN124" s="183"/>
      <c r="AO124" s="183"/>
      <c r="AP124" s="186"/>
      <c r="AQ124" s="187"/>
      <c r="AR124" s="188">
        <f t="shared" si="6"/>
        <v>0</v>
      </c>
      <c r="AS124" s="188">
        <f t="shared" si="7"/>
        <v>0</v>
      </c>
      <c r="AT124" s="188">
        <f t="shared" si="7"/>
        <v>0</v>
      </c>
      <c r="AU124" s="188">
        <f t="shared" si="8"/>
        <v>0</v>
      </c>
      <c r="AV124" s="188">
        <f t="shared" si="9"/>
        <v>0</v>
      </c>
    </row>
    <row r="125" spans="1:48">
      <c r="A125" s="176">
        <v>903</v>
      </c>
      <c r="B125" s="180"/>
      <c r="C125" s="176" t="s">
        <v>975</v>
      </c>
      <c r="D125" s="176" t="s">
        <v>217</v>
      </c>
      <c r="E125" s="176" t="s">
        <v>221</v>
      </c>
      <c r="F125" s="176" t="s">
        <v>222</v>
      </c>
      <c r="G125" s="176" t="s">
        <v>70</v>
      </c>
      <c r="H125" s="176" t="s">
        <v>223</v>
      </c>
      <c r="I125" s="176" t="s">
        <v>743</v>
      </c>
      <c r="J125" s="176" t="s">
        <v>220</v>
      </c>
      <c r="K125" s="176" t="s">
        <v>264</v>
      </c>
      <c r="L125" s="177"/>
      <c r="M125" s="177"/>
      <c r="N125" s="177"/>
      <c r="O125" s="177"/>
      <c r="P125" s="182">
        <v>1.6</v>
      </c>
      <c r="Q125" s="182">
        <v>3.7</v>
      </c>
      <c r="R125" s="182">
        <v>3.2</v>
      </c>
      <c r="S125" s="182">
        <v>-4.7</v>
      </c>
      <c r="T125" s="182">
        <v>1.4</v>
      </c>
      <c r="U125" s="182">
        <v>2.8</v>
      </c>
      <c r="V125" s="182">
        <v>4.8</v>
      </c>
      <c r="W125" s="185" t="s">
        <v>775</v>
      </c>
      <c r="X125" s="177"/>
      <c r="Y125" s="177"/>
      <c r="Z125" s="177"/>
      <c r="AA125" s="177"/>
      <c r="AB125" s="189">
        <v>1.8</v>
      </c>
      <c r="AC125" s="177" t="s">
        <v>744</v>
      </c>
      <c r="AD125" s="177"/>
      <c r="AE125" s="181">
        <v>16.899999999999999</v>
      </c>
      <c r="AF125" s="177" t="s">
        <v>744</v>
      </c>
      <c r="AG125" s="183"/>
      <c r="AH125" s="183">
        <v>3.8</v>
      </c>
      <c r="AI125" s="184">
        <v>4.5270000000000001</v>
      </c>
      <c r="AJ125" s="176">
        <v>8</v>
      </c>
      <c r="AK125" s="176"/>
      <c r="AL125" s="182">
        <f>SUM(L125:AH125)</f>
        <v>35.299999999999997</v>
      </c>
      <c r="AM125" s="185" t="s">
        <v>223</v>
      </c>
      <c r="AN125" s="183" t="s">
        <v>999</v>
      </c>
      <c r="AO125" s="183" t="s">
        <v>545</v>
      </c>
      <c r="AP125" s="186">
        <f t="shared" si="10"/>
        <v>1.2666666666666666</v>
      </c>
      <c r="AQ125" s="187">
        <v>3</v>
      </c>
      <c r="AR125" s="188" t="str">
        <f t="shared" si="6"/>
        <v>６年累積</v>
      </c>
      <c r="AS125" s="188">
        <f t="shared" si="7"/>
        <v>0</v>
      </c>
      <c r="AT125" s="188">
        <f t="shared" si="7"/>
        <v>16.899999999999999</v>
      </c>
      <c r="AU125" s="188">
        <f t="shared" si="8"/>
        <v>3.8</v>
      </c>
      <c r="AV125" s="188">
        <f t="shared" si="9"/>
        <v>20.7</v>
      </c>
    </row>
    <row r="126" spans="1:48">
      <c r="A126" s="176">
        <v>904</v>
      </c>
      <c r="B126" s="180"/>
      <c r="C126" s="176" t="s">
        <v>976</v>
      </c>
      <c r="D126" s="176" t="s">
        <v>217</v>
      </c>
      <c r="E126" s="176" t="s">
        <v>1042</v>
      </c>
      <c r="F126" s="176" t="s">
        <v>224</v>
      </c>
      <c r="G126" s="176" t="s">
        <v>12</v>
      </c>
      <c r="H126" s="176" t="s">
        <v>31</v>
      </c>
      <c r="I126" s="176" t="s">
        <v>743</v>
      </c>
      <c r="J126" s="176" t="s">
        <v>763</v>
      </c>
      <c r="K126" s="176" t="s">
        <v>293</v>
      </c>
      <c r="L126" s="177"/>
      <c r="M126" s="177"/>
      <c r="N126" s="177"/>
      <c r="O126" s="177"/>
      <c r="P126" s="177"/>
      <c r="Q126" s="182">
        <v>1.9</v>
      </c>
      <c r="R126" s="182">
        <v>-1.9</v>
      </c>
      <c r="S126" s="183" t="s">
        <v>754</v>
      </c>
      <c r="T126" s="183">
        <v>-4.4000000000000004</v>
      </c>
      <c r="U126" s="185" t="s">
        <v>754</v>
      </c>
      <c r="V126" s="183">
        <v>1.1000000000000001</v>
      </c>
      <c r="W126" s="185" t="s">
        <v>775</v>
      </c>
      <c r="X126" s="177"/>
      <c r="Y126" s="177"/>
      <c r="Z126" s="177"/>
      <c r="AA126" s="177"/>
      <c r="AB126" s="189">
        <v>3.6</v>
      </c>
      <c r="AC126" s="177" t="s">
        <v>744</v>
      </c>
      <c r="AD126" s="177"/>
      <c r="AE126" s="181">
        <v>16.5</v>
      </c>
      <c r="AF126" s="177" t="s">
        <v>744</v>
      </c>
      <c r="AG126" s="183"/>
      <c r="AH126" s="183">
        <v>-4.8</v>
      </c>
      <c r="AI126" s="184">
        <v>17.433399999999999</v>
      </c>
      <c r="AJ126" s="176">
        <v>8</v>
      </c>
      <c r="AK126" s="176" t="s">
        <v>978</v>
      </c>
      <c r="AL126" s="182">
        <f>SUM(L126:AH126)</f>
        <v>12</v>
      </c>
      <c r="AM126" s="185" t="s">
        <v>31</v>
      </c>
      <c r="AN126" s="183" t="s">
        <v>999</v>
      </c>
      <c r="AO126" s="183" t="s">
        <v>545</v>
      </c>
      <c r="AP126" s="186">
        <f t="shared" si="10"/>
        <v>-1.5999999999999999</v>
      </c>
      <c r="AQ126" s="187">
        <v>3</v>
      </c>
      <c r="AR126" s="188" t="str">
        <f t="shared" si="6"/>
        <v>６年累積</v>
      </c>
      <c r="AS126" s="188">
        <f t="shared" si="7"/>
        <v>0</v>
      </c>
      <c r="AT126" s="188">
        <f t="shared" si="7"/>
        <v>16.5</v>
      </c>
      <c r="AU126" s="188">
        <f t="shared" si="8"/>
        <v>-4.8</v>
      </c>
      <c r="AV126" s="188">
        <f t="shared" si="9"/>
        <v>11.7</v>
      </c>
    </row>
    <row r="127" spans="1:48">
      <c r="A127" s="176">
        <v>905</v>
      </c>
      <c r="B127" s="180"/>
      <c r="C127" s="176" t="s">
        <v>979</v>
      </c>
      <c r="D127" s="176" t="s">
        <v>217</v>
      </c>
      <c r="E127" s="176" t="s">
        <v>225</v>
      </c>
      <c r="F127" s="176" t="s">
        <v>226</v>
      </c>
      <c r="G127" s="176" t="s">
        <v>12</v>
      </c>
      <c r="H127" s="176" t="s">
        <v>31</v>
      </c>
      <c r="I127" s="176" t="s">
        <v>743</v>
      </c>
      <c r="J127" s="176" t="s">
        <v>1011</v>
      </c>
      <c r="K127" s="176" t="s">
        <v>293</v>
      </c>
      <c r="L127" s="177"/>
      <c r="M127" s="177"/>
      <c r="N127" s="177"/>
      <c r="O127" s="177"/>
      <c r="P127" s="177"/>
      <c r="Q127" s="182">
        <v>1.1000000000000001</v>
      </c>
      <c r="R127" s="182">
        <v>0.3</v>
      </c>
      <c r="S127" s="183" t="s">
        <v>754</v>
      </c>
      <c r="T127" s="183">
        <v>-4.3</v>
      </c>
      <c r="U127" s="185" t="s">
        <v>754</v>
      </c>
      <c r="V127" s="183">
        <v>-0.2</v>
      </c>
      <c r="W127" s="173"/>
      <c r="X127" s="177"/>
      <c r="Y127" s="177"/>
      <c r="Z127" s="177"/>
      <c r="AA127" s="177"/>
      <c r="AB127" s="189" t="s">
        <v>47</v>
      </c>
      <c r="AC127" s="177" t="s">
        <v>744</v>
      </c>
      <c r="AD127" s="177"/>
      <c r="AE127" s="181">
        <v>4.0999999999999996</v>
      </c>
      <c r="AF127" s="177" t="s">
        <v>744</v>
      </c>
      <c r="AG127" s="183"/>
      <c r="AH127" s="183">
        <v>-5.8</v>
      </c>
      <c r="AI127" s="184">
        <v>15.0762</v>
      </c>
      <c r="AJ127" s="176">
        <v>8</v>
      </c>
      <c r="AK127" s="176" t="s">
        <v>980</v>
      </c>
      <c r="AL127" s="182">
        <f>SUM(AE127:AH127)</f>
        <v>-1.7000000000000002</v>
      </c>
      <c r="AM127" s="185" t="s">
        <v>619</v>
      </c>
      <c r="AN127" s="183" t="s">
        <v>999</v>
      </c>
      <c r="AO127" s="183" t="s">
        <v>545</v>
      </c>
      <c r="AP127" s="186">
        <f t="shared" si="10"/>
        <v>-1.9333333333333333</v>
      </c>
      <c r="AQ127" s="187">
        <v>3</v>
      </c>
      <c r="AR127" s="188">
        <f t="shared" si="6"/>
        <v>0</v>
      </c>
      <c r="AS127" s="188">
        <f t="shared" si="7"/>
        <v>0</v>
      </c>
      <c r="AT127" s="188">
        <f t="shared" si="7"/>
        <v>4.0999999999999996</v>
      </c>
      <c r="AU127" s="188">
        <f t="shared" si="8"/>
        <v>-5.8</v>
      </c>
      <c r="AV127" s="188">
        <f t="shared" si="9"/>
        <v>-1.7000000000000002</v>
      </c>
    </row>
    <row r="128" spans="1:48">
      <c r="A128" s="176">
        <v>906</v>
      </c>
      <c r="B128" s="180"/>
      <c r="C128" s="176" t="s">
        <v>981</v>
      </c>
      <c r="D128" s="176" t="s">
        <v>217</v>
      </c>
      <c r="E128" s="176" t="s">
        <v>227</v>
      </c>
      <c r="F128" s="176" t="s">
        <v>228</v>
      </c>
      <c r="G128" s="176" t="s">
        <v>12</v>
      </c>
      <c r="H128" s="176" t="s">
        <v>223</v>
      </c>
      <c r="I128" s="176" t="s">
        <v>743</v>
      </c>
      <c r="J128" s="176" t="s">
        <v>1011</v>
      </c>
      <c r="K128" s="176" t="s">
        <v>293</v>
      </c>
      <c r="L128" s="177"/>
      <c r="M128" s="177"/>
      <c r="N128" s="177"/>
      <c r="O128" s="177"/>
      <c r="P128" s="182">
        <v>0.3</v>
      </c>
      <c r="Q128" s="182">
        <v>0.5</v>
      </c>
      <c r="R128" s="182">
        <v>2</v>
      </c>
      <c r="S128" s="182">
        <v>-5.3</v>
      </c>
      <c r="T128" s="182">
        <v>1.5</v>
      </c>
      <c r="U128" s="182">
        <v>-0.3</v>
      </c>
      <c r="V128" s="182">
        <v>2.4</v>
      </c>
      <c r="W128" s="183" t="s">
        <v>775</v>
      </c>
      <c r="X128" s="177"/>
      <c r="Y128" s="177"/>
      <c r="Z128" s="177"/>
      <c r="AA128" s="177"/>
      <c r="AB128" s="189">
        <v>-0.4</v>
      </c>
      <c r="AC128" s="177" t="s">
        <v>744</v>
      </c>
      <c r="AD128" s="177"/>
      <c r="AE128" s="181">
        <v>5.3</v>
      </c>
      <c r="AF128" s="177" t="s">
        <v>744</v>
      </c>
      <c r="AG128" s="183"/>
      <c r="AH128" s="183">
        <v>-5.6</v>
      </c>
      <c r="AI128" s="184">
        <v>11.271699999999999</v>
      </c>
      <c r="AJ128" s="176">
        <v>8</v>
      </c>
      <c r="AK128" s="176"/>
      <c r="AL128" s="182">
        <f>SUM(L128:AH128)</f>
        <v>0.40000000000000036</v>
      </c>
      <c r="AM128" s="185" t="s">
        <v>223</v>
      </c>
      <c r="AN128" s="183" t="s">
        <v>999</v>
      </c>
      <c r="AO128" s="183" t="s">
        <v>545</v>
      </c>
      <c r="AP128" s="186">
        <f t="shared" si="10"/>
        <v>-1.8666666666666665</v>
      </c>
      <c r="AQ128" s="187">
        <v>3</v>
      </c>
      <c r="AR128" s="188" t="str">
        <f t="shared" si="6"/>
        <v>６年累積</v>
      </c>
      <c r="AS128" s="188">
        <f t="shared" si="7"/>
        <v>0</v>
      </c>
      <c r="AT128" s="188">
        <f t="shared" si="7"/>
        <v>5.3</v>
      </c>
      <c r="AU128" s="188">
        <f t="shared" si="8"/>
        <v>-5.6</v>
      </c>
      <c r="AV128" s="188">
        <f t="shared" si="9"/>
        <v>-0.29999999999999982</v>
      </c>
    </row>
    <row r="129" spans="1:48">
      <c r="A129" s="176">
        <v>907</v>
      </c>
      <c r="B129" s="180"/>
      <c r="C129" s="176" t="s">
        <v>982</v>
      </c>
      <c r="D129" s="176" t="s">
        <v>217</v>
      </c>
      <c r="E129" s="176" t="s">
        <v>229</v>
      </c>
      <c r="F129" s="176" t="s">
        <v>230</v>
      </c>
      <c r="G129" s="176" t="s">
        <v>12</v>
      </c>
      <c r="H129" s="176" t="s">
        <v>10</v>
      </c>
      <c r="I129" s="176" t="s">
        <v>743</v>
      </c>
      <c r="J129" s="176" t="s">
        <v>1011</v>
      </c>
      <c r="K129" s="176" t="s">
        <v>293</v>
      </c>
      <c r="L129" s="177"/>
      <c r="M129" s="177"/>
      <c r="N129" s="182">
        <v>-10.8</v>
      </c>
      <c r="O129" s="182">
        <v>13.2</v>
      </c>
      <c r="P129" s="182">
        <v>-0.6</v>
      </c>
      <c r="Q129" s="182">
        <v>0.3</v>
      </c>
      <c r="R129" s="182">
        <v>0.6</v>
      </c>
      <c r="S129" s="182">
        <v>-2.7</v>
      </c>
      <c r="T129" s="182">
        <v>1.1000000000000001</v>
      </c>
      <c r="U129" s="182">
        <v>3.1</v>
      </c>
      <c r="V129" s="182">
        <v>3.1</v>
      </c>
      <c r="W129" s="183" t="s">
        <v>775</v>
      </c>
      <c r="X129" s="177"/>
      <c r="Y129" s="177"/>
      <c r="Z129" s="177"/>
      <c r="AA129" s="177"/>
      <c r="AB129" s="189">
        <v>1.8</v>
      </c>
      <c r="AC129" s="177" t="s">
        <v>744</v>
      </c>
      <c r="AD129" s="177"/>
      <c r="AE129" s="189">
        <v>7</v>
      </c>
      <c r="AF129" s="177" t="s">
        <v>744</v>
      </c>
      <c r="AG129" s="183"/>
      <c r="AH129" s="183">
        <v>-4.3</v>
      </c>
      <c r="AI129" s="184">
        <v>25.476800000000001</v>
      </c>
      <c r="AJ129" s="176">
        <v>8</v>
      </c>
      <c r="AK129" s="176"/>
      <c r="AL129" s="182">
        <f>SUM(L129:AH129)</f>
        <v>11.8</v>
      </c>
      <c r="AM129" s="185" t="s">
        <v>10</v>
      </c>
      <c r="AN129" s="183" t="s">
        <v>999</v>
      </c>
      <c r="AO129" s="183" t="s">
        <v>545</v>
      </c>
      <c r="AP129" s="186">
        <f t="shared" si="10"/>
        <v>-1.4333333333333333</v>
      </c>
      <c r="AQ129" s="187">
        <v>3</v>
      </c>
      <c r="AR129" s="188" t="str">
        <f t="shared" si="6"/>
        <v>６年累積</v>
      </c>
      <c r="AS129" s="188">
        <f t="shared" si="7"/>
        <v>0</v>
      </c>
      <c r="AT129" s="188">
        <f t="shared" si="7"/>
        <v>7</v>
      </c>
      <c r="AU129" s="188">
        <f t="shared" si="8"/>
        <v>-4.3</v>
      </c>
      <c r="AV129" s="188">
        <f t="shared" si="9"/>
        <v>2.7</v>
      </c>
    </row>
    <row r="130" spans="1:48">
      <c r="A130" s="176">
        <v>908</v>
      </c>
      <c r="B130" s="180"/>
      <c r="C130" s="176" t="s">
        <v>983</v>
      </c>
      <c r="D130" s="176" t="s">
        <v>217</v>
      </c>
      <c r="E130" s="176" t="s">
        <v>1043</v>
      </c>
      <c r="F130" s="176" t="s">
        <v>231</v>
      </c>
      <c r="G130" s="176" t="s">
        <v>9</v>
      </c>
      <c r="H130" s="176" t="s">
        <v>10</v>
      </c>
      <c r="I130" s="176" t="s">
        <v>64</v>
      </c>
      <c r="J130" s="176" t="s">
        <v>54</v>
      </c>
      <c r="K130" s="176" t="s">
        <v>264</v>
      </c>
      <c r="L130" s="177"/>
      <c r="M130" s="181"/>
      <c r="N130" s="183" t="s">
        <v>754</v>
      </c>
      <c r="O130" s="183">
        <v>12.3</v>
      </c>
      <c r="P130" s="182">
        <v>0.5</v>
      </c>
      <c r="Q130" s="182">
        <v>4.5999999999999996</v>
      </c>
      <c r="R130" s="182">
        <v>6</v>
      </c>
      <c r="S130" s="182">
        <v>-7.1</v>
      </c>
      <c r="T130" s="182">
        <v>1.1000000000000001</v>
      </c>
      <c r="U130" s="182">
        <v>2.6</v>
      </c>
      <c r="V130" s="182">
        <v>6.9</v>
      </c>
      <c r="W130" s="183" t="s">
        <v>775</v>
      </c>
      <c r="X130" s="177"/>
      <c r="Y130" s="177"/>
      <c r="Z130" s="177"/>
      <c r="AA130" s="177"/>
      <c r="AB130" s="189">
        <v>0.6</v>
      </c>
      <c r="AC130" s="177" t="s">
        <v>744</v>
      </c>
      <c r="AD130" s="177"/>
      <c r="AE130" s="181">
        <v>12.9</v>
      </c>
      <c r="AF130" s="177" t="s">
        <v>744</v>
      </c>
      <c r="AG130" s="183"/>
      <c r="AH130" s="183">
        <v>1.6</v>
      </c>
      <c r="AI130" s="184">
        <v>5.1563999999999997</v>
      </c>
      <c r="AJ130" s="176">
        <v>8</v>
      </c>
      <c r="AK130" s="176"/>
      <c r="AL130" s="182">
        <f>SUM(L130:AH130)</f>
        <v>42</v>
      </c>
      <c r="AM130" s="185" t="s">
        <v>10</v>
      </c>
      <c r="AN130" s="183" t="s">
        <v>999</v>
      </c>
      <c r="AO130" s="183" t="s">
        <v>545</v>
      </c>
      <c r="AP130" s="186">
        <f t="shared" si="10"/>
        <v>0.53333333333333333</v>
      </c>
      <c r="AQ130" s="187">
        <v>3</v>
      </c>
      <c r="AR130" s="188" t="str">
        <f t="shared" si="6"/>
        <v>６年累積</v>
      </c>
      <c r="AS130" s="188">
        <f t="shared" si="7"/>
        <v>0</v>
      </c>
      <c r="AT130" s="188">
        <f t="shared" si="7"/>
        <v>12.9</v>
      </c>
      <c r="AU130" s="188">
        <f t="shared" si="8"/>
        <v>1.6</v>
      </c>
      <c r="AV130" s="188">
        <f t="shared" si="9"/>
        <v>14.5</v>
      </c>
    </row>
    <row r="131" spans="1:48">
      <c r="A131" s="176">
        <v>909</v>
      </c>
      <c r="B131" s="180"/>
      <c r="C131" s="176" t="s">
        <v>985</v>
      </c>
      <c r="D131" s="176" t="s">
        <v>217</v>
      </c>
      <c r="E131" s="176" t="s">
        <v>232</v>
      </c>
      <c r="F131" s="176" t="s">
        <v>233</v>
      </c>
      <c r="G131" s="176" t="s">
        <v>12</v>
      </c>
      <c r="H131" s="176" t="s">
        <v>31</v>
      </c>
      <c r="I131" s="176" t="s">
        <v>743</v>
      </c>
      <c r="J131" s="176" t="s">
        <v>54</v>
      </c>
      <c r="K131" s="176" t="s">
        <v>264</v>
      </c>
      <c r="L131" s="177"/>
      <c r="M131" s="177"/>
      <c r="N131" s="177"/>
      <c r="O131" s="177"/>
      <c r="P131" s="177"/>
      <c r="Q131" s="182">
        <v>2.2999999999999998</v>
      </c>
      <c r="R131" s="182">
        <v>4.5999999999999996</v>
      </c>
      <c r="S131" s="182">
        <v>-6.6</v>
      </c>
      <c r="T131" s="182">
        <v>-0.1</v>
      </c>
      <c r="U131" s="182">
        <v>1.8</v>
      </c>
      <c r="V131" s="182">
        <v>6.7</v>
      </c>
      <c r="W131" s="183" t="s">
        <v>775</v>
      </c>
      <c r="X131" s="177"/>
      <c r="Y131" s="177"/>
      <c r="Z131" s="177"/>
      <c r="AA131" s="177"/>
      <c r="AB131" s="189">
        <v>0.7</v>
      </c>
      <c r="AC131" s="177" t="s">
        <v>744</v>
      </c>
      <c r="AD131" s="177"/>
      <c r="AE131" s="181">
        <v>12.2</v>
      </c>
      <c r="AF131" s="177" t="s">
        <v>744</v>
      </c>
      <c r="AG131" s="183"/>
      <c r="AH131" s="183">
        <v>3.8</v>
      </c>
      <c r="AI131" s="184">
        <v>4.2488999999999999</v>
      </c>
      <c r="AJ131" s="176">
        <v>8</v>
      </c>
      <c r="AK131" s="176"/>
      <c r="AL131" s="182">
        <f>SUM(L131:AH131)</f>
        <v>25.4</v>
      </c>
      <c r="AM131" s="185" t="s">
        <v>31</v>
      </c>
      <c r="AN131" s="183" t="s">
        <v>999</v>
      </c>
      <c r="AO131" s="183" t="s">
        <v>545</v>
      </c>
      <c r="AP131" s="186">
        <f t="shared" si="10"/>
        <v>1.2666666666666666</v>
      </c>
      <c r="AQ131" s="187">
        <v>3</v>
      </c>
      <c r="AR131" s="188" t="str">
        <f t="shared" si="6"/>
        <v>６年累積</v>
      </c>
      <c r="AS131" s="188">
        <f t="shared" si="7"/>
        <v>0</v>
      </c>
      <c r="AT131" s="188">
        <f t="shared" si="7"/>
        <v>12.2</v>
      </c>
      <c r="AU131" s="188">
        <f t="shared" si="8"/>
        <v>3.8</v>
      </c>
      <c r="AV131" s="188">
        <f t="shared" si="9"/>
        <v>16</v>
      </c>
    </row>
    <row r="132" spans="1:48">
      <c r="A132" s="176">
        <v>910</v>
      </c>
      <c r="B132" s="180"/>
      <c r="C132" s="176" t="s">
        <v>986</v>
      </c>
      <c r="D132" s="176" t="s">
        <v>217</v>
      </c>
      <c r="E132" s="176" t="s">
        <v>234</v>
      </c>
      <c r="F132" s="176" t="s">
        <v>235</v>
      </c>
      <c r="G132" s="176" t="s">
        <v>12</v>
      </c>
      <c r="H132" s="176" t="s">
        <v>10</v>
      </c>
      <c r="I132" s="176" t="s">
        <v>743</v>
      </c>
      <c r="J132" s="176" t="s">
        <v>1011</v>
      </c>
      <c r="K132" s="176" t="s">
        <v>293</v>
      </c>
      <c r="L132" s="177"/>
      <c r="M132" s="177"/>
      <c r="N132" s="182">
        <v>-7.7</v>
      </c>
      <c r="O132" s="182">
        <v>12.2</v>
      </c>
      <c r="P132" s="182">
        <v>0.3</v>
      </c>
      <c r="Q132" s="182">
        <v>0.4</v>
      </c>
      <c r="R132" s="182">
        <v>0.5</v>
      </c>
      <c r="S132" s="182">
        <v>-3.5</v>
      </c>
      <c r="T132" s="182">
        <v>1.1000000000000001</v>
      </c>
      <c r="U132" s="182">
        <v>-1.5</v>
      </c>
      <c r="V132" s="182">
        <v>1.9</v>
      </c>
      <c r="W132" s="183" t="s">
        <v>775</v>
      </c>
      <c r="X132" s="177"/>
      <c r="Y132" s="177"/>
      <c r="Z132" s="177"/>
      <c r="AA132" s="177"/>
      <c r="AB132" s="189">
        <v>0.9</v>
      </c>
      <c r="AC132" s="177" t="s">
        <v>744</v>
      </c>
      <c r="AD132" s="177"/>
      <c r="AE132" s="181">
        <v>3.1</v>
      </c>
      <c r="AF132" s="177" t="s">
        <v>744</v>
      </c>
      <c r="AG132" s="183"/>
      <c r="AH132" s="183">
        <v>-4.8</v>
      </c>
      <c r="AI132" s="184">
        <v>15.8865</v>
      </c>
      <c r="AJ132" s="176">
        <v>8</v>
      </c>
      <c r="AK132" s="176"/>
      <c r="AL132" s="182">
        <f>SUM(L132:AH132)</f>
        <v>2.8999999999999995</v>
      </c>
      <c r="AM132" s="185" t="s">
        <v>10</v>
      </c>
      <c r="AN132" s="183" t="s">
        <v>999</v>
      </c>
      <c r="AO132" s="183" t="s">
        <v>545</v>
      </c>
      <c r="AP132" s="186">
        <f t="shared" si="10"/>
        <v>-1.5999999999999999</v>
      </c>
      <c r="AQ132" s="187">
        <v>3</v>
      </c>
      <c r="AR132" s="188" t="str">
        <f t="shared" si="6"/>
        <v>６年累積</v>
      </c>
      <c r="AS132" s="188">
        <f t="shared" si="7"/>
        <v>0</v>
      </c>
      <c r="AT132" s="188">
        <f t="shared" si="7"/>
        <v>3.1</v>
      </c>
      <c r="AU132" s="188">
        <f t="shared" si="8"/>
        <v>-4.8</v>
      </c>
      <c r="AV132" s="188">
        <f t="shared" si="9"/>
        <v>-1.6999999999999997</v>
      </c>
    </row>
    <row r="133" spans="1:48">
      <c r="A133" s="176">
        <v>911</v>
      </c>
      <c r="B133" s="180"/>
      <c r="C133" s="176" t="s">
        <v>987</v>
      </c>
      <c r="D133" s="176" t="s">
        <v>217</v>
      </c>
      <c r="E133" s="176" t="s">
        <v>236</v>
      </c>
      <c r="F133" s="176" t="s">
        <v>237</v>
      </c>
      <c r="G133" s="176" t="s">
        <v>70</v>
      </c>
      <c r="H133" s="176" t="s">
        <v>10</v>
      </c>
      <c r="I133" s="176" t="s">
        <v>743</v>
      </c>
      <c r="J133" s="176" t="s">
        <v>54</v>
      </c>
      <c r="K133" s="176" t="s">
        <v>264</v>
      </c>
      <c r="L133" s="177"/>
      <c r="M133" s="177"/>
      <c r="N133" s="182">
        <v>44</v>
      </c>
      <c r="O133" s="182">
        <v>33.200000000000003</v>
      </c>
      <c r="P133" s="182">
        <v>22.1</v>
      </c>
      <c r="Q133" s="182">
        <v>41.5</v>
      </c>
      <c r="R133" s="182">
        <v>19.600000000000001</v>
      </c>
      <c r="S133" s="182">
        <v>-1</v>
      </c>
      <c r="T133" s="182" t="s">
        <v>770</v>
      </c>
      <c r="U133" s="183" t="s">
        <v>754</v>
      </c>
      <c r="V133" s="183">
        <v>97.6</v>
      </c>
      <c r="W133" s="185" t="s">
        <v>775</v>
      </c>
      <c r="X133" s="177"/>
      <c r="Y133" s="177"/>
      <c r="Z133" s="177"/>
      <c r="AA133" s="177"/>
      <c r="AB133" s="189">
        <v>108.3</v>
      </c>
      <c r="AC133" s="177" t="s">
        <v>744</v>
      </c>
      <c r="AD133" s="177"/>
      <c r="AE133" s="181" t="s">
        <v>770</v>
      </c>
      <c r="AF133" s="177" t="s">
        <v>744</v>
      </c>
      <c r="AG133" s="183"/>
      <c r="AH133" s="183">
        <v>48.3</v>
      </c>
      <c r="AI133" s="184">
        <v>3.7839</v>
      </c>
      <c r="AJ133" s="176">
        <v>8</v>
      </c>
      <c r="AK133" s="176" t="s">
        <v>988</v>
      </c>
      <c r="AL133" s="182">
        <f>SUM(AF133:AH133)</f>
        <v>48.3</v>
      </c>
      <c r="AM133" s="185" t="s">
        <v>622</v>
      </c>
      <c r="AN133" s="183" t="s">
        <v>999</v>
      </c>
      <c r="AO133" s="183" t="s">
        <v>545</v>
      </c>
      <c r="AP133" s="186">
        <f>AH133/AQ133</f>
        <v>16.099999999999998</v>
      </c>
      <c r="AQ133" s="187">
        <v>3</v>
      </c>
      <c r="AR133" s="188" t="str">
        <f>W133</f>
        <v>６年累積</v>
      </c>
      <c r="AS133" s="188">
        <f t="shared" ref="AS133:AT136" si="14">AD133</f>
        <v>0</v>
      </c>
      <c r="AT133" s="188" t="str">
        <f t="shared" si="14"/>
        <v>A</v>
      </c>
      <c r="AU133" s="188">
        <f>AH133</f>
        <v>48.3</v>
      </c>
      <c r="AV133" s="188">
        <f>SUM(AD133:AH133)</f>
        <v>48.3</v>
      </c>
    </row>
    <row r="134" spans="1:48">
      <c r="A134" s="176">
        <v>1001</v>
      </c>
      <c r="B134" s="180"/>
      <c r="C134" s="176" t="s">
        <v>927</v>
      </c>
      <c r="D134" s="176" t="s">
        <v>294</v>
      </c>
      <c r="E134" s="176" t="s">
        <v>173</v>
      </c>
      <c r="F134" s="176" t="s">
        <v>174</v>
      </c>
      <c r="G134" s="176" t="s">
        <v>9</v>
      </c>
      <c r="H134" s="176" t="s">
        <v>127</v>
      </c>
      <c r="I134" s="176" t="s">
        <v>743</v>
      </c>
      <c r="J134" s="176" t="s">
        <v>141</v>
      </c>
      <c r="K134" s="176" t="s">
        <v>270</v>
      </c>
      <c r="L134" s="177"/>
      <c r="M134" s="177"/>
      <c r="N134" s="177"/>
      <c r="O134" s="177"/>
      <c r="P134" s="177"/>
      <c r="Q134" s="177"/>
      <c r="R134" s="182">
        <v>16.100000000000001</v>
      </c>
      <c r="S134" s="183" t="s">
        <v>754</v>
      </c>
      <c r="T134" s="189">
        <v>17.899999999999999</v>
      </c>
      <c r="U134" s="183" t="s">
        <v>93</v>
      </c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83"/>
      <c r="AG134" s="183"/>
      <c r="AH134" s="183" t="s">
        <v>770</v>
      </c>
      <c r="AI134" s="184">
        <v>35.728299999999997</v>
      </c>
      <c r="AJ134" s="176">
        <v>8</v>
      </c>
      <c r="AK134" s="176" t="s">
        <v>1044</v>
      </c>
      <c r="AL134" s="182"/>
      <c r="AM134" s="185"/>
      <c r="AN134" s="183"/>
      <c r="AO134" s="183"/>
      <c r="AP134" s="186"/>
      <c r="AQ134" s="187"/>
      <c r="AR134" s="188">
        <f>W134</f>
        <v>0</v>
      </c>
      <c r="AS134" s="188">
        <f t="shared" si="14"/>
        <v>0</v>
      </c>
      <c r="AT134" s="188">
        <f t="shared" si="14"/>
        <v>0</v>
      </c>
      <c r="AU134" s="188" t="str">
        <f>AH134</f>
        <v>A</v>
      </c>
      <c r="AV134" s="188">
        <f>SUM(AD134:AH134)</f>
        <v>0</v>
      </c>
    </row>
    <row r="135" spans="1:48">
      <c r="A135" s="176">
        <v>1002</v>
      </c>
      <c r="B135" s="180"/>
      <c r="C135" s="176" t="s">
        <v>928</v>
      </c>
      <c r="D135" s="176" t="s">
        <v>294</v>
      </c>
      <c r="E135" s="176" t="s">
        <v>175</v>
      </c>
      <c r="F135" s="176" t="s">
        <v>176</v>
      </c>
      <c r="G135" s="176" t="s">
        <v>9</v>
      </c>
      <c r="H135" s="176" t="s">
        <v>127</v>
      </c>
      <c r="I135" s="176" t="s">
        <v>743</v>
      </c>
      <c r="J135" s="176" t="s">
        <v>141</v>
      </c>
      <c r="K135" s="176" t="s">
        <v>1023</v>
      </c>
      <c r="L135" s="177"/>
      <c r="M135" s="177"/>
      <c r="N135" s="177"/>
      <c r="O135" s="177"/>
      <c r="P135" s="177"/>
      <c r="Q135" s="177"/>
      <c r="R135" s="182">
        <v>5.3</v>
      </c>
      <c r="S135" s="183" t="s">
        <v>177</v>
      </c>
      <c r="T135" s="177"/>
      <c r="U135" s="177"/>
      <c r="V135" s="177"/>
      <c r="W135" s="177"/>
      <c r="X135" s="177"/>
      <c r="Y135" s="177"/>
      <c r="Z135" s="177"/>
      <c r="AA135" s="177"/>
      <c r="AB135" s="183" t="s">
        <v>37</v>
      </c>
      <c r="AC135" s="173" t="s">
        <v>744</v>
      </c>
      <c r="AD135" s="177"/>
      <c r="AE135" s="183">
        <v>7</v>
      </c>
      <c r="AF135" s="185" t="s">
        <v>1039</v>
      </c>
      <c r="AG135" s="183"/>
      <c r="AH135" s="183">
        <v>6.9</v>
      </c>
      <c r="AI135" s="184">
        <v>44.191699999999997</v>
      </c>
      <c r="AJ135" s="176">
        <v>8</v>
      </c>
      <c r="AK135" s="176" t="s">
        <v>929</v>
      </c>
      <c r="AL135" s="182">
        <f>SUM(AB135:AH135)</f>
        <v>13.9</v>
      </c>
      <c r="AM135" s="185" t="s">
        <v>619</v>
      </c>
      <c r="AN135" s="183" t="s">
        <v>999</v>
      </c>
      <c r="AO135" s="183" t="s">
        <v>545</v>
      </c>
      <c r="AP135" s="186">
        <f>AH135/AQ135</f>
        <v>2.3000000000000003</v>
      </c>
      <c r="AQ135" s="187">
        <v>3</v>
      </c>
      <c r="AR135" s="188">
        <f>W135</f>
        <v>0</v>
      </c>
      <c r="AS135" s="188">
        <f t="shared" si="14"/>
        <v>0</v>
      </c>
      <c r="AT135" s="188">
        <f t="shared" si="14"/>
        <v>7</v>
      </c>
      <c r="AU135" s="188">
        <f>AH135</f>
        <v>6.9</v>
      </c>
      <c r="AV135" s="188">
        <f>SUM(AD135:AH135)</f>
        <v>13.9</v>
      </c>
    </row>
    <row r="136" spans="1:48">
      <c r="A136" s="176">
        <v>1003</v>
      </c>
      <c r="B136" s="180"/>
      <c r="C136" s="176" t="s">
        <v>930</v>
      </c>
      <c r="D136" s="176" t="s">
        <v>294</v>
      </c>
      <c r="E136" s="176" t="s">
        <v>178</v>
      </c>
      <c r="F136" s="176" t="s">
        <v>179</v>
      </c>
      <c r="G136" s="176" t="s">
        <v>9</v>
      </c>
      <c r="H136" s="176" t="s">
        <v>10</v>
      </c>
      <c r="I136" s="176" t="s">
        <v>743</v>
      </c>
      <c r="J136" s="176" t="s">
        <v>141</v>
      </c>
      <c r="K136" s="176" t="s">
        <v>1023</v>
      </c>
      <c r="L136" s="177"/>
      <c r="M136" s="181"/>
      <c r="N136" s="183" t="s">
        <v>744</v>
      </c>
      <c r="O136" s="177"/>
      <c r="P136" s="183">
        <v>8.4</v>
      </c>
      <c r="Q136" s="182">
        <v>1.1000000000000001</v>
      </c>
      <c r="R136" s="182">
        <v>6.4</v>
      </c>
      <c r="S136" s="183" t="s">
        <v>754</v>
      </c>
      <c r="T136" s="189">
        <v>2.6</v>
      </c>
      <c r="U136" s="183" t="s">
        <v>759</v>
      </c>
      <c r="V136" s="177"/>
      <c r="W136" s="177"/>
      <c r="X136" s="177"/>
      <c r="Y136" s="177"/>
      <c r="Z136" s="177"/>
      <c r="AA136" s="177"/>
      <c r="AB136" s="183">
        <v>17.3</v>
      </c>
      <c r="AC136" s="173" t="s">
        <v>744</v>
      </c>
      <c r="AD136" s="177"/>
      <c r="AE136" s="177">
        <v>-1.2</v>
      </c>
      <c r="AF136" s="173" t="s">
        <v>744</v>
      </c>
      <c r="AG136" s="183"/>
      <c r="AH136" s="183">
        <v>5.9</v>
      </c>
      <c r="AI136" s="184">
        <v>32.185699999999997</v>
      </c>
      <c r="AJ136" s="176">
        <v>8</v>
      </c>
      <c r="AK136" s="176"/>
      <c r="AL136" s="182">
        <f>SUM(L136:AH136)</f>
        <v>40.499999999999993</v>
      </c>
      <c r="AM136" s="185" t="s">
        <v>10</v>
      </c>
      <c r="AN136" s="183" t="s">
        <v>999</v>
      </c>
      <c r="AO136" s="183" t="s">
        <v>545</v>
      </c>
      <c r="AP136" s="186">
        <f>AH136/AQ136</f>
        <v>1.9666666666666668</v>
      </c>
      <c r="AQ136" s="187">
        <v>3</v>
      </c>
      <c r="AR136" s="188">
        <f>W136</f>
        <v>0</v>
      </c>
      <c r="AS136" s="188">
        <f t="shared" si="14"/>
        <v>0</v>
      </c>
      <c r="AT136" s="188">
        <f t="shared" si="14"/>
        <v>-1.2</v>
      </c>
      <c r="AU136" s="188">
        <f>AH136</f>
        <v>5.9</v>
      </c>
      <c r="AV136" s="188">
        <f>SUM(AD136:AH136)</f>
        <v>4.7</v>
      </c>
    </row>
    <row r="137" spans="1:48">
      <c r="A137" s="167"/>
      <c r="B137" s="167">
        <f>COUNTA(B4:B136)</f>
        <v>33</v>
      </c>
      <c r="C137" s="167">
        <f>COUNTA(C4:C136)</f>
        <v>133</v>
      </c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92"/>
      <c r="AG137" s="192"/>
      <c r="AH137" s="192"/>
      <c r="AI137" s="193"/>
      <c r="AJ137" s="167"/>
      <c r="AK137" s="167"/>
      <c r="AL137" s="167"/>
      <c r="AM137" s="167"/>
      <c r="AN137" s="167"/>
      <c r="AO137" s="167"/>
    </row>
  </sheetData>
  <phoneticPr fontId="1"/>
  <pageMargins left="0.75" right="0.75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AL228"/>
  <sheetViews>
    <sheetView showGridLines="0" workbookViewId="0">
      <selection activeCell="AR9" sqref="AR9:BU9"/>
    </sheetView>
  </sheetViews>
  <sheetFormatPr defaultColWidth="9.625" defaultRowHeight="15.75"/>
  <cols>
    <col min="1" max="1" width="4.625" style="162" customWidth="1"/>
    <col min="2" max="2" width="8.625" style="166" customWidth="1"/>
    <col min="3" max="3" width="4.625" style="162" customWidth="1"/>
    <col min="4" max="4" width="13.625" style="162" customWidth="1"/>
    <col min="5" max="5" width="14.625" style="162" customWidth="1"/>
    <col min="6" max="7" width="3.625" style="162" customWidth="1"/>
    <col min="8" max="8" width="5.625" style="162" customWidth="1"/>
    <col min="9" max="9" width="7.625" style="162" customWidth="1"/>
    <col min="10" max="10" width="1.625" style="162" customWidth="1"/>
    <col min="11" max="32" width="6.625" style="162" customWidth="1"/>
    <col min="33" max="33" width="9.625" style="162" customWidth="1"/>
    <col min="34" max="34" width="6.625" style="162" customWidth="1"/>
    <col min="35" max="35" width="25.625" style="162" customWidth="1"/>
    <col min="36" max="36" width="1.625" style="162" customWidth="1"/>
    <col min="37" max="37" width="7.625" style="162" customWidth="1"/>
    <col min="38" max="38" width="1.625" style="152" customWidth="1"/>
    <col min="39" max="256" width="9.625" style="152"/>
    <col min="257" max="257" width="4.625" style="152" customWidth="1"/>
    <col min="258" max="258" width="8.625" style="152" customWidth="1"/>
    <col min="259" max="259" width="4.625" style="152" customWidth="1"/>
    <col min="260" max="260" width="13.625" style="152" customWidth="1"/>
    <col min="261" max="261" width="14.625" style="152" customWidth="1"/>
    <col min="262" max="263" width="3.625" style="152" customWidth="1"/>
    <col min="264" max="264" width="5.625" style="152" customWidth="1"/>
    <col min="265" max="265" width="7.625" style="152" customWidth="1"/>
    <col min="266" max="266" width="1.625" style="152" customWidth="1"/>
    <col min="267" max="288" width="6.625" style="152" customWidth="1"/>
    <col min="289" max="289" width="9.625" style="152" customWidth="1"/>
    <col min="290" max="290" width="6.625" style="152" customWidth="1"/>
    <col min="291" max="291" width="25.625" style="152" customWidth="1"/>
    <col min="292" max="292" width="1.625" style="152" customWidth="1"/>
    <col min="293" max="293" width="7.625" style="152" customWidth="1"/>
    <col min="294" max="294" width="1.625" style="152" customWidth="1"/>
    <col min="295" max="512" width="9.625" style="152"/>
    <col min="513" max="513" width="4.625" style="152" customWidth="1"/>
    <col min="514" max="514" width="8.625" style="152" customWidth="1"/>
    <col min="515" max="515" width="4.625" style="152" customWidth="1"/>
    <col min="516" max="516" width="13.625" style="152" customWidth="1"/>
    <col min="517" max="517" width="14.625" style="152" customWidth="1"/>
    <col min="518" max="519" width="3.625" style="152" customWidth="1"/>
    <col min="520" max="520" width="5.625" style="152" customWidth="1"/>
    <col min="521" max="521" width="7.625" style="152" customWidth="1"/>
    <col min="522" max="522" width="1.625" style="152" customWidth="1"/>
    <col min="523" max="544" width="6.625" style="152" customWidth="1"/>
    <col min="545" max="545" width="9.625" style="152" customWidth="1"/>
    <col min="546" max="546" width="6.625" style="152" customWidth="1"/>
    <col min="547" max="547" width="25.625" style="152" customWidth="1"/>
    <col min="548" max="548" width="1.625" style="152" customWidth="1"/>
    <col min="549" max="549" width="7.625" style="152" customWidth="1"/>
    <col min="550" max="550" width="1.625" style="152" customWidth="1"/>
    <col min="551" max="768" width="9.625" style="152"/>
    <col min="769" max="769" width="4.625" style="152" customWidth="1"/>
    <col min="770" max="770" width="8.625" style="152" customWidth="1"/>
    <col min="771" max="771" width="4.625" style="152" customWidth="1"/>
    <col min="772" max="772" width="13.625" style="152" customWidth="1"/>
    <col min="773" max="773" width="14.625" style="152" customWidth="1"/>
    <col min="774" max="775" width="3.625" style="152" customWidth="1"/>
    <col min="776" max="776" width="5.625" style="152" customWidth="1"/>
    <col min="777" max="777" width="7.625" style="152" customWidth="1"/>
    <col min="778" max="778" width="1.625" style="152" customWidth="1"/>
    <col min="779" max="800" width="6.625" style="152" customWidth="1"/>
    <col min="801" max="801" width="9.625" style="152" customWidth="1"/>
    <col min="802" max="802" width="6.625" style="152" customWidth="1"/>
    <col min="803" max="803" width="25.625" style="152" customWidth="1"/>
    <col min="804" max="804" width="1.625" style="152" customWidth="1"/>
    <col min="805" max="805" width="7.625" style="152" customWidth="1"/>
    <col min="806" max="806" width="1.625" style="152" customWidth="1"/>
    <col min="807" max="1024" width="9.625" style="152"/>
    <col min="1025" max="1025" width="4.625" style="152" customWidth="1"/>
    <col min="1026" max="1026" width="8.625" style="152" customWidth="1"/>
    <col min="1027" max="1027" width="4.625" style="152" customWidth="1"/>
    <col min="1028" max="1028" width="13.625" style="152" customWidth="1"/>
    <col min="1029" max="1029" width="14.625" style="152" customWidth="1"/>
    <col min="1030" max="1031" width="3.625" style="152" customWidth="1"/>
    <col min="1032" max="1032" width="5.625" style="152" customWidth="1"/>
    <col min="1033" max="1033" width="7.625" style="152" customWidth="1"/>
    <col min="1034" max="1034" width="1.625" style="152" customWidth="1"/>
    <col min="1035" max="1056" width="6.625" style="152" customWidth="1"/>
    <col min="1057" max="1057" width="9.625" style="152" customWidth="1"/>
    <col min="1058" max="1058" width="6.625" style="152" customWidth="1"/>
    <col min="1059" max="1059" width="25.625" style="152" customWidth="1"/>
    <col min="1060" max="1060" width="1.625" style="152" customWidth="1"/>
    <col min="1061" max="1061" width="7.625" style="152" customWidth="1"/>
    <col min="1062" max="1062" width="1.625" style="152" customWidth="1"/>
    <col min="1063" max="1280" width="9.625" style="152"/>
    <col min="1281" max="1281" width="4.625" style="152" customWidth="1"/>
    <col min="1282" max="1282" width="8.625" style="152" customWidth="1"/>
    <col min="1283" max="1283" width="4.625" style="152" customWidth="1"/>
    <col min="1284" max="1284" width="13.625" style="152" customWidth="1"/>
    <col min="1285" max="1285" width="14.625" style="152" customWidth="1"/>
    <col min="1286" max="1287" width="3.625" style="152" customWidth="1"/>
    <col min="1288" max="1288" width="5.625" style="152" customWidth="1"/>
    <col min="1289" max="1289" width="7.625" style="152" customWidth="1"/>
    <col min="1290" max="1290" width="1.625" style="152" customWidth="1"/>
    <col min="1291" max="1312" width="6.625" style="152" customWidth="1"/>
    <col min="1313" max="1313" width="9.625" style="152" customWidth="1"/>
    <col min="1314" max="1314" width="6.625" style="152" customWidth="1"/>
    <col min="1315" max="1315" width="25.625" style="152" customWidth="1"/>
    <col min="1316" max="1316" width="1.625" style="152" customWidth="1"/>
    <col min="1317" max="1317" width="7.625" style="152" customWidth="1"/>
    <col min="1318" max="1318" width="1.625" style="152" customWidth="1"/>
    <col min="1319" max="1536" width="9.625" style="152"/>
    <col min="1537" max="1537" width="4.625" style="152" customWidth="1"/>
    <col min="1538" max="1538" width="8.625" style="152" customWidth="1"/>
    <col min="1539" max="1539" width="4.625" style="152" customWidth="1"/>
    <col min="1540" max="1540" width="13.625" style="152" customWidth="1"/>
    <col min="1541" max="1541" width="14.625" style="152" customWidth="1"/>
    <col min="1542" max="1543" width="3.625" style="152" customWidth="1"/>
    <col min="1544" max="1544" width="5.625" style="152" customWidth="1"/>
    <col min="1545" max="1545" width="7.625" style="152" customWidth="1"/>
    <col min="1546" max="1546" width="1.625" style="152" customWidth="1"/>
    <col min="1547" max="1568" width="6.625" style="152" customWidth="1"/>
    <col min="1569" max="1569" width="9.625" style="152" customWidth="1"/>
    <col min="1570" max="1570" width="6.625" style="152" customWidth="1"/>
    <col min="1571" max="1571" width="25.625" style="152" customWidth="1"/>
    <col min="1572" max="1572" width="1.625" style="152" customWidth="1"/>
    <col min="1573" max="1573" width="7.625" style="152" customWidth="1"/>
    <col min="1574" max="1574" width="1.625" style="152" customWidth="1"/>
    <col min="1575" max="1792" width="9.625" style="152"/>
    <col min="1793" max="1793" width="4.625" style="152" customWidth="1"/>
    <col min="1794" max="1794" width="8.625" style="152" customWidth="1"/>
    <col min="1795" max="1795" width="4.625" style="152" customWidth="1"/>
    <col min="1796" max="1796" width="13.625" style="152" customWidth="1"/>
    <col min="1797" max="1797" width="14.625" style="152" customWidth="1"/>
    <col min="1798" max="1799" width="3.625" style="152" customWidth="1"/>
    <col min="1800" max="1800" width="5.625" style="152" customWidth="1"/>
    <col min="1801" max="1801" width="7.625" style="152" customWidth="1"/>
    <col min="1802" max="1802" width="1.625" style="152" customWidth="1"/>
    <col min="1803" max="1824" width="6.625" style="152" customWidth="1"/>
    <col min="1825" max="1825" width="9.625" style="152" customWidth="1"/>
    <col min="1826" max="1826" width="6.625" style="152" customWidth="1"/>
    <col min="1827" max="1827" width="25.625" style="152" customWidth="1"/>
    <col min="1828" max="1828" width="1.625" style="152" customWidth="1"/>
    <col min="1829" max="1829" width="7.625" style="152" customWidth="1"/>
    <col min="1830" max="1830" width="1.625" style="152" customWidth="1"/>
    <col min="1831" max="2048" width="9.625" style="152"/>
    <col min="2049" max="2049" width="4.625" style="152" customWidth="1"/>
    <col min="2050" max="2050" width="8.625" style="152" customWidth="1"/>
    <col min="2051" max="2051" width="4.625" style="152" customWidth="1"/>
    <col min="2052" max="2052" width="13.625" style="152" customWidth="1"/>
    <col min="2053" max="2053" width="14.625" style="152" customWidth="1"/>
    <col min="2054" max="2055" width="3.625" style="152" customWidth="1"/>
    <col min="2056" max="2056" width="5.625" style="152" customWidth="1"/>
    <col min="2057" max="2057" width="7.625" style="152" customWidth="1"/>
    <col min="2058" max="2058" width="1.625" style="152" customWidth="1"/>
    <col min="2059" max="2080" width="6.625" style="152" customWidth="1"/>
    <col min="2081" max="2081" width="9.625" style="152" customWidth="1"/>
    <col min="2082" max="2082" width="6.625" style="152" customWidth="1"/>
    <col min="2083" max="2083" width="25.625" style="152" customWidth="1"/>
    <col min="2084" max="2084" width="1.625" style="152" customWidth="1"/>
    <col min="2085" max="2085" width="7.625" style="152" customWidth="1"/>
    <col min="2086" max="2086" width="1.625" style="152" customWidth="1"/>
    <col min="2087" max="2304" width="9.625" style="152"/>
    <col min="2305" max="2305" width="4.625" style="152" customWidth="1"/>
    <col min="2306" max="2306" width="8.625" style="152" customWidth="1"/>
    <col min="2307" max="2307" width="4.625" style="152" customWidth="1"/>
    <col min="2308" max="2308" width="13.625" style="152" customWidth="1"/>
    <col min="2309" max="2309" width="14.625" style="152" customWidth="1"/>
    <col min="2310" max="2311" width="3.625" style="152" customWidth="1"/>
    <col min="2312" max="2312" width="5.625" style="152" customWidth="1"/>
    <col min="2313" max="2313" width="7.625" style="152" customWidth="1"/>
    <col min="2314" max="2314" width="1.625" style="152" customWidth="1"/>
    <col min="2315" max="2336" width="6.625" style="152" customWidth="1"/>
    <col min="2337" max="2337" width="9.625" style="152" customWidth="1"/>
    <col min="2338" max="2338" width="6.625" style="152" customWidth="1"/>
    <col min="2339" max="2339" width="25.625" style="152" customWidth="1"/>
    <col min="2340" max="2340" width="1.625" style="152" customWidth="1"/>
    <col min="2341" max="2341" width="7.625" style="152" customWidth="1"/>
    <col min="2342" max="2342" width="1.625" style="152" customWidth="1"/>
    <col min="2343" max="2560" width="9.625" style="152"/>
    <col min="2561" max="2561" width="4.625" style="152" customWidth="1"/>
    <col min="2562" max="2562" width="8.625" style="152" customWidth="1"/>
    <col min="2563" max="2563" width="4.625" style="152" customWidth="1"/>
    <col min="2564" max="2564" width="13.625" style="152" customWidth="1"/>
    <col min="2565" max="2565" width="14.625" style="152" customWidth="1"/>
    <col min="2566" max="2567" width="3.625" style="152" customWidth="1"/>
    <col min="2568" max="2568" width="5.625" style="152" customWidth="1"/>
    <col min="2569" max="2569" width="7.625" style="152" customWidth="1"/>
    <col min="2570" max="2570" width="1.625" style="152" customWidth="1"/>
    <col min="2571" max="2592" width="6.625" style="152" customWidth="1"/>
    <col min="2593" max="2593" width="9.625" style="152" customWidth="1"/>
    <col min="2594" max="2594" width="6.625" style="152" customWidth="1"/>
    <col min="2595" max="2595" width="25.625" style="152" customWidth="1"/>
    <col min="2596" max="2596" width="1.625" style="152" customWidth="1"/>
    <col min="2597" max="2597" width="7.625" style="152" customWidth="1"/>
    <col min="2598" max="2598" width="1.625" style="152" customWidth="1"/>
    <col min="2599" max="2816" width="9.625" style="152"/>
    <col min="2817" max="2817" width="4.625" style="152" customWidth="1"/>
    <col min="2818" max="2818" width="8.625" style="152" customWidth="1"/>
    <col min="2819" max="2819" width="4.625" style="152" customWidth="1"/>
    <col min="2820" max="2820" width="13.625" style="152" customWidth="1"/>
    <col min="2821" max="2821" width="14.625" style="152" customWidth="1"/>
    <col min="2822" max="2823" width="3.625" style="152" customWidth="1"/>
    <col min="2824" max="2824" width="5.625" style="152" customWidth="1"/>
    <col min="2825" max="2825" width="7.625" style="152" customWidth="1"/>
    <col min="2826" max="2826" width="1.625" style="152" customWidth="1"/>
    <col min="2827" max="2848" width="6.625" style="152" customWidth="1"/>
    <col min="2849" max="2849" width="9.625" style="152" customWidth="1"/>
    <col min="2850" max="2850" width="6.625" style="152" customWidth="1"/>
    <col min="2851" max="2851" width="25.625" style="152" customWidth="1"/>
    <col min="2852" max="2852" width="1.625" style="152" customWidth="1"/>
    <col min="2853" max="2853" width="7.625" style="152" customWidth="1"/>
    <col min="2854" max="2854" width="1.625" style="152" customWidth="1"/>
    <col min="2855" max="3072" width="9.625" style="152"/>
    <col min="3073" max="3073" width="4.625" style="152" customWidth="1"/>
    <col min="3074" max="3074" width="8.625" style="152" customWidth="1"/>
    <col min="3075" max="3075" width="4.625" style="152" customWidth="1"/>
    <col min="3076" max="3076" width="13.625" style="152" customWidth="1"/>
    <col min="3077" max="3077" width="14.625" style="152" customWidth="1"/>
    <col min="3078" max="3079" width="3.625" style="152" customWidth="1"/>
    <col min="3080" max="3080" width="5.625" style="152" customWidth="1"/>
    <col min="3081" max="3081" width="7.625" style="152" customWidth="1"/>
    <col min="3082" max="3082" width="1.625" style="152" customWidth="1"/>
    <col min="3083" max="3104" width="6.625" style="152" customWidth="1"/>
    <col min="3105" max="3105" width="9.625" style="152" customWidth="1"/>
    <col min="3106" max="3106" width="6.625" style="152" customWidth="1"/>
    <col min="3107" max="3107" width="25.625" style="152" customWidth="1"/>
    <col min="3108" max="3108" width="1.625" style="152" customWidth="1"/>
    <col min="3109" max="3109" width="7.625" style="152" customWidth="1"/>
    <col min="3110" max="3110" width="1.625" style="152" customWidth="1"/>
    <col min="3111" max="3328" width="9.625" style="152"/>
    <col min="3329" max="3329" width="4.625" style="152" customWidth="1"/>
    <col min="3330" max="3330" width="8.625" style="152" customWidth="1"/>
    <col min="3331" max="3331" width="4.625" style="152" customWidth="1"/>
    <col min="3332" max="3332" width="13.625" style="152" customWidth="1"/>
    <col min="3333" max="3333" width="14.625" style="152" customWidth="1"/>
    <col min="3334" max="3335" width="3.625" style="152" customWidth="1"/>
    <col min="3336" max="3336" width="5.625" style="152" customWidth="1"/>
    <col min="3337" max="3337" width="7.625" style="152" customWidth="1"/>
    <col min="3338" max="3338" width="1.625" style="152" customWidth="1"/>
    <col min="3339" max="3360" width="6.625" style="152" customWidth="1"/>
    <col min="3361" max="3361" width="9.625" style="152" customWidth="1"/>
    <col min="3362" max="3362" width="6.625" style="152" customWidth="1"/>
    <col min="3363" max="3363" width="25.625" style="152" customWidth="1"/>
    <col min="3364" max="3364" width="1.625" style="152" customWidth="1"/>
    <col min="3365" max="3365" width="7.625" style="152" customWidth="1"/>
    <col min="3366" max="3366" width="1.625" style="152" customWidth="1"/>
    <col min="3367" max="3584" width="9.625" style="152"/>
    <col min="3585" max="3585" width="4.625" style="152" customWidth="1"/>
    <col min="3586" max="3586" width="8.625" style="152" customWidth="1"/>
    <col min="3587" max="3587" width="4.625" style="152" customWidth="1"/>
    <col min="3588" max="3588" width="13.625" style="152" customWidth="1"/>
    <col min="3589" max="3589" width="14.625" style="152" customWidth="1"/>
    <col min="3590" max="3591" width="3.625" style="152" customWidth="1"/>
    <col min="3592" max="3592" width="5.625" style="152" customWidth="1"/>
    <col min="3593" max="3593" width="7.625" style="152" customWidth="1"/>
    <col min="3594" max="3594" width="1.625" style="152" customWidth="1"/>
    <col min="3595" max="3616" width="6.625" style="152" customWidth="1"/>
    <col min="3617" max="3617" width="9.625" style="152" customWidth="1"/>
    <col min="3618" max="3618" width="6.625" style="152" customWidth="1"/>
    <col min="3619" max="3619" width="25.625" style="152" customWidth="1"/>
    <col min="3620" max="3620" width="1.625" style="152" customWidth="1"/>
    <col min="3621" max="3621" width="7.625" style="152" customWidth="1"/>
    <col min="3622" max="3622" width="1.625" style="152" customWidth="1"/>
    <col min="3623" max="3840" width="9.625" style="152"/>
    <col min="3841" max="3841" width="4.625" style="152" customWidth="1"/>
    <col min="3842" max="3842" width="8.625" style="152" customWidth="1"/>
    <col min="3843" max="3843" width="4.625" style="152" customWidth="1"/>
    <col min="3844" max="3844" width="13.625" style="152" customWidth="1"/>
    <col min="3845" max="3845" width="14.625" style="152" customWidth="1"/>
    <col min="3846" max="3847" width="3.625" style="152" customWidth="1"/>
    <col min="3848" max="3848" width="5.625" style="152" customWidth="1"/>
    <col min="3849" max="3849" width="7.625" style="152" customWidth="1"/>
    <col min="3850" max="3850" width="1.625" style="152" customWidth="1"/>
    <col min="3851" max="3872" width="6.625" style="152" customWidth="1"/>
    <col min="3873" max="3873" width="9.625" style="152" customWidth="1"/>
    <col min="3874" max="3874" width="6.625" style="152" customWidth="1"/>
    <col min="3875" max="3875" width="25.625" style="152" customWidth="1"/>
    <col min="3876" max="3876" width="1.625" style="152" customWidth="1"/>
    <col min="3877" max="3877" width="7.625" style="152" customWidth="1"/>
    <col min="3878" max="3878" width="1.625" style="152" customWidth="1"/>
    <col min="3879" max="4096" width="9.625" style="152"/>
    <col min="4097" max="4097" width="4.625" style="152" customWidth="1"/>
    <col min="4098" max="4098" width="8.625" style="152" customWidth="1"/>
    <col min="4099" max="4099" width="4.625" style="152" customWidth="1"/>
    <col min="4100" max="4100" width="13.625" style="152" customWidth="1"/>
    <col min="4101" max="4101" width="14.625" style="152" customWidth="1"/>
    <col min="4102" max="4103" width="3.625" style="152" customWidth="1"/>
    <col min="4104" max="4104" width="5.625" style="152" customWidth="1"/>
    <col min="4105" max="4105" width="7.625" style="152" customWidth="1"/>
    <col min="4106" max="4106" width="1.625" style="152" customWidth="1"/>
    <col min="4107" max="4128" width="6.625" style="152" customWidth="1"/>
    <col min="4129" max="4129" width="9.625" style="152" customWidth="1"/>
    <col min="4130" max="4130" width="6.625" style="152" customWidth="1"/>
    <col min="4131" max="4131" width="25.625" style="152" customWidth="1"/>
    <col min="4132" max="4132" width="1.625" style="152" customWidth="1"/>
    <col min="4133" max="4133" width="7.625" style="152" customWidth="1"/>
    <col min="4134" max="4134" width="1.625" style="152" customWidth="1"/>
    <col min="4135" max="4352" width="9.625" style="152"/>
    <col min="4353" max="4353" width="4.625" style="152" customWidth="1"/>
    <col min="4354" max="4354" width="8.625" style="152" customWidth="1"/>
    <col min="4355" max="4355" width="4.625" style="152" customWidth="1"/>
    <col min="4356" max="4356" width="13.625" style="152" customWidth="1"/>
    <col min="4357" max="4357" width="14.625" style="152" customWidth="1"/>
    <col min="4358" max="4359" width="3.625" style="152" customWidth="1"/>
    <col min="4360" max="4360" width="5.625" style="152" customWidth="1"/>
    <col min="4361" max="4361" width="7.625" style="152" customWidth="1"/>
    <col min="4362" max="4362" width="1.625" style="152" customWidth="1"/>
    <col min="4363" max="4384" width="6.625" style="152" customWidth="1"/>
    <col min="4385" max="4385" width="9.625" style="152" customWidth="1"/>
    <col min="4386" max="4386" width="6.625" style="152" customWidth="1"/>
    <col min="4387" max="4387" width="25.625" style="152" customWidth="1"/>
    <col min="4388" max="4388" width="1.625" style="152" customWidth="1"/>
    <col min="4389" max="4389" width="7.625" style="152" customWidth="1"/>
    <col min="4390" max="4390" width="1.625" style="152" customWidth="1"/>
    <col min="4391" max="4608" width="9.625" style="152"/>
    <col min="4609" max="4609" width="4.625" style="152" customWidth="1"/>
    <col min="4610" max="4610" width="8.625" style="152" customWidth="1"/>
    <col min="4611" max="4611" width="4.625" style="152" customWidth="1"/>
    <col min="4612" max="4612" width="13.625" style="152" customWidth="1"/>
    <col min="4613" max="4613" width="14.625" style="152" customWidth="1"/>
    <col min="4614" max="4615" width="3.625" style="152" customWidth="1"/>
    <col min="4616" max="4616" width="5.625" style="152" customWidth="1"/>
    <col min="4617" max="4617" width="7.625" style="152" customWidth="1"/>
    <col min="4618" max="4618" width="1.625" style="152" customWidth="1"/>
    <col min="4619" max="4640" width="6.625" style="152" customWidth="1"/>
    <col min="4641" max="4641" width="9.625" style="152" customWidth="1"/>
    <col min="4642" max="4642" width="6.625" style="152" customWidth="1"/>
    <col min="4643" max="4643" width="25.625" style="152" customWidth="1"/>
    <col min="4644" max="4644" width="1.625" style="152" customWidth="1"/>
    <col min="4645" max="4645" width="7.625" style="152" customWidth="1"/>
    <col min="4646" max="4646" width="1.625" style="152" customWidth="1"/>
    <col min="4647" max="4864" width="9.625" style="152"/>
    <col min="4865" max="4865" width="4.625" style="152" customWidth="1"/>
    <col min="4866" max="4866" width="8.625" style="152" customWidth="1"/>
    <col min="4867" max="4867" width="4.625" style="152" customWidth="1"/>
    <col min="4868" max="4868" width="13.625" style="152" customWidth="1"/>
    <col min="4869" max="4869" width="14.625" style="152" customWidth="1"/>
    <col min="4870" max="4871" width="3.625" style="152" customWidth="1"/>
    <col min="4872" max="4872" width="5.625" style="152" customWidth="1"/>
    <col min="4873" max="4873" width="7.625" style="152" customWidth="1"/>
    <col min="4874" max="4874" width="1.625" style="152" customWidth="1"/>
    <col min="4875" max="4896" width="6.625" style="152" customWidth="1"/>
    <col min="4897" max="4897" width="9.625" style="152" customWidth="1"/>
    <col min="4898" max="4898" width="6.625" style="152" customWidth="1"/>
    <col min="4899" max="4899" width="25.625" style="152" customWidth="1"/>
    <col min="4900" max="4900" width="1.625" style="152" customWidth="1"/>
    <col min="4901" max="4901" width="7.625" style="152" customWidth="1"/>
    <col min="4902" max="4902" width="1.625" style="152" customWidth="1"/>
    <col min="4903" max="5120" width="9.625" style="152"/>
    <col min="5121" max="5121" width="4.625" style="152" customWidth="1"/>
    <col min="5122" max="5122" width="8.625" style="152" customWidth="1"/>
    <col min="5123" max="5123" width="4.625" style="152" customWidth="1"/>
    <col min="5124" max="5124" width="13.625" style="152" customWidth="1"/>
    <col min="5125" max="5125" width="14.625" style="152" customWidth="1"/>
    <col min="5126" max="5127" width="3.625" style="152" customWidth="1"/>
    <col min="5128" max="5128" width="5.625" style="152" customWidth="1"/>
    <col min="5129" max="5129" width="7.625" style="152" customWidth="1"/>
    <col min="5130" max="5130" width="1.625" style="152" customWidth="1"/>
    <col min="5131" max="5152" width="6.625" style="152" customWidth="1"/>
    <col min="5153" max="5153" width="9.625" style="152" customWidth="1"/>
    <col min="5154" max="5154" width="6.625" style="152" customWidth="1"/>
    <col min="5155" max="5155" width="25.625" style="152" customWidth="1"/>
    <col min="5156" max="5156" width="1.625" style="152" customWidth="1"/>
    <col min="5157" max="5157" width="7.625" style="152" customWidth="1"/>
    <col min="5158" max="5158" width="1.625" style="152" customWidth="1"/>
    <col min="5159" max="5376" width="9.625" style="152"/>
    <col min="5377" max="5377" width="4.625" style="152" customWidth="1"/>
    <col min="5378" max="5378" width="8.625" style="152" customWidth="1"/>
    <col min="5379" max="5379" width="4.625" style="152" customWidth="1"/>
    <col min="5380" max="5380" width="13.625" style="152" customWidth="1"/>
    <col min="5381" max="5381" width="14.625" style="152" customWidth="1"/>
    <col min="5382" max="5383" width="3.625" style="152" customWidth="1"/>
    <col min="5384" max="5384" width="5.625" style="152" customWidth="1"/>
    <col min="5385" max="5385" width="7.625" style="152" customWidth="1"/>
    <col min="5386" max="5386" width="1.625" style="152" customWidth="1"/>
    <col min="5387" max="5408" width="6.625" style="152" customWidth="1"/>
    <col min="5409" max="5409" width="9.625" style="152" customWidth="1"/>
    <col min="5410" max="5410" width="6.625" style="152" customWidth="1"/>
    <col min="5411" max="5411" width="25.625" style="152" customWidth="1"/>
    <col min="5412" max="5412" width="1.625" style="152" customWidth="1"/>
    <col min="5413" max="5413" width="7.625" style="152" customWidth="1"/>
    <col min="5414" max="5414" width="1.625" style="152" customWidth="1"/>
    <col min="5415" max="5632" width="9.625" style="152"/>
    <col min="5633" max="5633" width="4.625" style="152" customWidth="1"/>
    <col min="5634" max="5634" width="8.625" style="152" customWidth="1"/>
    <col min="5635" max="5635" width="4.625" style="152" customWidth="1"/>
    <col min="5636" max="5636" width="13.625" style="152" customWidth="1"/>
    <col min="5637" max="5637" width="14.625" style="152" customWidth="1"/>
    <col min="5638" max="5639" width="3.625" style="152" customWidth="1"/>
    <col min="5640" max="5640" width="5.625" style="152" customWidth="1"/>
    <col min="5641" max="5641" width="7.625" style="152" customWidth="1"/>
    <col min="5642" max="5642" width="1.625" style="152" customWidth="1"/>
    <col min="5643" max="5664" width="6.625" style="152" customWidth="1"/>
    <col min="5665" max="5665" width="9.625" style="152" customWidth="1"/>
    <col min="5666" max="5666" width="6.625" style="152" customWidth="1"/>
    <col min="5667" max="5667" width="25.625" style="152" customWidth="1"/>
    <col min="5668" max="5668" width="1.625" style="152" customWidth="1"/>
    <col min="5669" max="5669" width="7.625" style="152" customWidth="1"/>
    <col min="5670" max="5670" width="1.625" style="152" customWidth="1"/>
    <col min="5671" max="5888" width="9.625" style="152"/>
    <col min="5889" max="5889" width="4.625" style="152" customWidth="1"/>
    <col min="5890" max="5890" width="8.625" style="152" customWidth="1"/>
    <col min="5891" max="5891" width="4.625" style="152" customWidth="1"/>
    <col min="5892" max="5892" width="13.625" style="152" customWidth="1"/>
    <col min="5893" max="5893" width="14.625" style="152" customWidth="1"/>
    <col min="5894" max="5895" width="3.625" style="152" customWidth="1"/>
    <col min="5896" max="5896" width="5.625" style="152" customWidth="1"/>
    <col min="5897" max="5897" width="7.625" style="152" customWidth="1"/>
    <col min="5898" max="5898" width="1.625" style="152" customWidth="1"/>
    <col min="5899" max="5920" width="6.625" style="152" customWidth="1"/>
    <col min="5921" max="5921" width="9.625" style="152" customWidth="1"/>
    <col min="5922" max="5922" width="6.625" style="152" customWidth="1"/>
    <col min="5923" max="5923" width="25.625" style="152" customWidth="1"/>
    <col min="5924" max="5924" width="1.625" style="152" customWidth="1"/>
    <col min="5925" max="5925" width="7.625" style="152" customWidth="1"/>
    <col min="5926" max="5926" width="1.625" style="152" customWidth="1"/>
    <col min="5927" max="6144" width="9.625" style="152"/>
    <col min="6145" max="6145" width="4.625" style="152" customWidth="1"/>
    <col min="6146" max="6146" width="8.625" style="152" customWidth="1"/>
    <col min="6147" max="6147" width="4.625" style="152" customWidth="1"/>
    <col min="6148" max="6148" width="13.625" style="152" customWidth="1"/>
    <col min="6149" max="6149" width="14.625" style="152" customWidth="1"/>
    <col min="6150" max="6151" width="3.625" style="152" customWidth="1"/>
    <col min="6152" max="6152" width="5.625" style="152" customWidth="1"/>
    <col min="6153" max="6153" width="7.625" style="152" customWidth="1"/>
    <col min="6154" max="6154" width="1.625" style="152" customWidth="1"/>
    <col min="6155" max="6176" width="6.625" style="152" customWidth="1"/>
    <col min="6177" max="6177" width="9.625" style="152" customWidth="1"/>
    <col min="6178" max="6178" width="6.625" style="152" customWidth="1"/>
    <col min="6179" max="6179" width="25.625" style="152" customWidth="1"/>
    <col min="6180" max="6180" width="1.625" style="152" customWidth="1"/>
    <col min="6181" max="6181" width="7.625" style="152" customWidth="1"/>
    <col min="6182" max="6182" width="1.625" style="152" customWidth="1"/>
    <col min="6183" max="6400" width="9.625" style="152"/>
    <col min="6401" max="6401" width="4.625" style="152" customWidth="1"/>
    <col min="6402" max="6402" width="8.625" style="152" customWidth="1"/>
    <col min="6403" max="6403" width="4.625" style="152" customWidth="1"/>
    <col min="6404" max="6404" width="13.625" style="152" customWidth="1"/>
    <col min="6405" max="6405" width="14.625" style="152" customWidth="1"/>
    <col min="6406" max="6407" width="3.625" style="152" customWidth="1"/>
    <col min="6408" max="6408" width="5.625" style="152" customWidth="1"/>
    <col min="6409" max="6409" width="7.625" style="152" customWidth="1"/>
    <col min="6410" max="6410" width="1.625" style="152" customWidth="1"/>
    <col min="6411" max="6432" width="6.625" style="152" customWidth="1"/>
    <col min="6433" max="6433" width="9.625" style="152" customWidth="1"/>
    <col min="6434" max="6434" width="6.625" style="152" customWidth="1"/>
    <col min="6435" max="6435" width="25.625" style="152" customWidth="1"/>
    <col min="6436" max="6436" width="1.625" style="152" customWidth="1"/>
    <col min="6437" max="6437" width="7.625" style="152" customWidth="1"/>
    <col min="6438" max="6438" width="1.625" style="152" customWidth="1"/>
    <col min="6439" max="6656" width="9.625" style="152"/>
    <col min="6657" max="6657" width="4.625" style="152" customWidth="1"/>
    <col min="6658" max="6658" width="8.625" style="152" customWidth="1"/>
    <col min="6659" max="6659" width="4.625" style="152" customWidth="1"/>
    <col min="6660" max="6660" width="13.625" style="152" customWidth="1"/>
    <col min="6661" max="6661" width="14.625" style="152" customWidth="1"/>
    <col min="6662" max="6663" width="3.625" style="152" customWidth="1"/>
    <col min="6664" max="6664" width="5.625" style="152" customWidth="1"/>
    <col min="6665" max="6665" width="7.625" style="152" customWidth="1"/>
    <col min="6666" max="6666" width="1.625" style="152" customWidth="1"/>
    <col min="6667" max="6688" width="6.625" style="152" customWidth="1"/>
    <col min="6689" max="6689" width="9.625" style="152" customWidth="1"/>
    <col min="6690" max="6690" width="6.625" style="152" customWidth="1"/>
    <col min="6691" max="6691" width="25.625" style="152" customWidth="1"/>
    <col min="6692" max="6692" width="1.625" style="152" customWidth="1"/>
    <col min="6693" max="6693" width="7.625" style="152" customWidth="1"/>
    <col min="6694" max="6694" width="1.625" style="152" customWidth="1"/>
    <col min="6695" max="6912" width="9.625" style="152"/>
    <col min="6913" max="6913" width="4.625" style="152" customWidth="1"/>
    <col min="6914" max="6914" width="8.625" style="152" customWidth="1"/>
    <col min="6915" max="6915" width="4.625" style="152" customWidth="1"/>
    <col min="6916" max="6916" width="13.625" style="152" customWidth="1"/>
    <col min="6917" max="6917" width="14.625" style="152" customWidth="1"/>
    <col min="6918" max="6919" width="3.625" style="152" customWidth="1"/>
    <col min="6920" max="6920" width="5.625" style="152" customWidth="1"/>
    <col min="6921" max="6921" width="7.625" style="152" customWidth="1"/>
    <col min="6922" max="6922" width="1.625" style="152" customWidth="1"/>
    <col min="6923" max="6944" width="6.625" style="152" customWidth="1"/>
    <col min="6945" max="6945" width="9.625" style="152" customWidth="1"/>
    <col min="6946" max="6946" width="6.625" style="152" customWidth="1"/>
    <col min="6947" max="6947" width="25.625" style="152" customWidth="1"/>
    <col min="6948" max="6948" width="1.625" style="152" customWidth="1"/>
    <col min="6949" max="6949" width="7.625" style="152" customWidth="1"/>
    <col min="6950" max="6950" width="1.625" style="152" customWidth="1"/>
    <col min="6951" max="7168" width="9.625" style="152"/>
    <col min="7169" max="7169" width="4.625" style="152" customWidth="1"/>
    <col min="7170" max="7170" width="8.625" style="152" customWidth="1"/>
    <col min="7171" max="7171" width="4.625" style="152" customWidth="1"/>
    <col min="7172" max="7172" width="13.625" style="152" customWidth="1"/>
    <col min="7173" max="7173" width="14.625" style="152" customWidth="1"/>
    <col min="7174" max="7175" width="3.625" style="152" customWidth="1"/>
    <col min="7176" max="7176" width="5.625" style="152" customWidth="1"/>
    <col min="7177" max="7177" width="7.625" style="152" customWidth="1"/>
    <col min="7178" max="7178" width="1.625" style="152" customWidth="1"/>
    <col min="7179" max="7200" width="6.625" style="152" customWidth="1"/>
    <col min="7201" max="7201" width="9.625" style="152" customWidth="1"/>
    <col min="7202" max="7202" width="6.625" style="152" customWidth="1"/>
    <col min="7203" max="7203" width="25.625" style="152" customWidth="1"/>
    <col min="7204" max="7204" width="1.625" style="152" customWidth="1"/>
    <col min="7205" max="7205" width="7.625" style="152" customWidth="1"/>
    <col min="7206" max="7206" width="1.625" style="152" customWidth="1"/>
    <col min="7207" max="7424" width="9.625" style="152"/>
    <col min="7425" max="7425" width="4.625" style="152" customWidth="1"/>
    <col min="7426" max="7426" width="8.625" style="152" customWidth="1"/>
    <col min="7427" max="7427" width="4.625" style="152" customWidth="1"/>
    <col min="7428" max="7428" width="13.625" style="152" customWidth="1"/>
    <col min="7429" max="7429" width="14.625" style="152" customWidth="1"/>
    <col min="7430" max="7431" width="3.625" style="152" customWidth="1"/>
    <col min="7432" max="7432" width="5.625" style="152" customWidth="1"/>
    <col min="7433" max="7433" width="7.625" style="152" customWidth="1"/>
    <col min="7434" max="7434" width="1.625" style="152" customWidth="1"/>
    <col min="7435" max="7456" width="6.625" style="152" customWidth="1"/>
    <col min="7457" max="7457" width="9.625" style="152" customWidth="1"/>
    <col min="7458" max="7458" width="6.625" style="152" customWidth="1"/>
    <col min="7459" max="7459" width="25.625" style="152" customWidth="1"/>
    <col min="7460" max="7460" width="1.625" style="152" customWidth="1"/>
    <col min="7461" max="7461" width="7.625" style="152" customWidth="1"/>
    <col min="7462" max="7462" width="1.625" style="152" customWidth="1"/>
    <col min="7463" max="7680" width="9.625" style="152"/>
    <col min="7681" max="7681" width="4.625" style="152" customWidth="1"/>
    <col min="7682" max="7682" width="8.625" style="152" customWidth="1"/>
    <col min="7683" max="7683" width="4.625" style="152" customWidth="1"/>
    <col min="7684" max="7684" width="13.625" style="152" customWidth="1"/>
    <col min="7685" max="7685" width="14.625" style="152" customWidth="1"/>
    <col min="7686" max="7687" width="3.625" style="152" customWidth="1"/>
    <col min="7688" max="7688" width="5.625" style="152" customWidth="1"/>
    <col min="7689" max="7689" width="7.625" style="152" customWidth="1"/>
    <col min="7690" max="7690" width="1.625" style="152" customWidth="1"/>
    <col min="7691" max="7712" width="6.625" style="152" customWidth="1"/>
    <col min="7713" max="7713" width="9.625" style="152" customWidth="1"/>
    <col min="7714" max="7714" width="6.625" style="152" customWidth="1"/>
    <col min="7715" max="7715" width="25.625" style="152" customWidth="1"/>
    <col min="7716" max="7716" width="1.625" style="152" customWidth="1"/>
    <col min="7717" max="7717" width="7.625" style="152" customWidth="1"/>
    <col min="7718" max="7718" width="1.625" style="152" customWidth="1"/>
    <col min="7719" max="7936" width="9.625" style="152"/>
    <col min="7937" max="7937" width="4.625" style="152" customWidth="1"/>
    <col min="7938" max="7938" width="8.625" style="152" customWidth="1"/>
    <col min="7939" max="7939" width="4.625" style="152" customWidth="1"/>
    <col min="7940" max="7940" width="13.625" style="152" customWidth="1"/>
    <col min="7941" max="7941" width="14.625" style="152" customWidth="1"/>
    <col min="7942" max="7943" width="3.625" style="152" customWidth="1"/>
    <col min="7944" max="7944" width="5.625" style="152" customWidth="1"/>
    <col min="7945" max="7945" width="7.625" style="152" customWidth="1"/>
    <col min="7946" max="7946" width="1.625" style="152" customWidth="1"/>
    <col min="7947" max="7968" width="6.625" style="152" customWidth="1"/>
    <col min="7969" max="7969" width="9.625" style="152" customWidth="1"/>
    <col min="7970" max="7970" width="6.625" style="152" customWidth="1"/>
    <col min="7971" max="7971" width="25.625" style="152" customWidth="1"/>
    <col min="7972" max="7972" width="1.625" style="152" customWidth="1"/>
    <col min="7973" max="7973" width="7.625" style="152" customWidth="1"/>
    <col min="7974" max="7974" width="1.625" style="152" customWidth="1"/>
    <col min="7975" max="8192" width="9.625" style="152"/>
    <col min="8193" max="8193" width="4.625" style="152" customWidth="1"/>
    <col min="8194" max="8194" width="8.625" style="152" customWidth="1"/>
    <col min="8195" max="8195" width="4.625" style="152" customWidth="1"/>
    <col min="8196" max="8196" width="13.625" style="152" customWidth="1"/>
    <col min="8197" max="8197" width="14.625" style="152" customWidth="1"/>
    <col min="8198" max="8199" width="3.625" style="152" customWidth="1"/>
    <col min="8200" max="8200" width="5.625" style="152" customWidth="1"/>
    <col min="8201" max="8201" width="7.625" style="152" customWidth="1"/>
    <col min="8202" max="8202" width="1.625" style="152" customWidth="1"/>
    <col min="8203" max="8224" width="6.625" style="152" customWidth="1"/>
    <col min="8225" max="8225" width="9.625" style="152" customWidth="1"/>
    <col min="8226" max="8226" width="6.625" style="152" customWidth="1"/>
    <col min="8227" max="8227" width="25.625" style="152" customWidth="1"/>
    <col min="8228" max="8228" width="1.625" style="152" customWidth="1"/>
    <col min="8229" max="8229" width="7.625" style="152" customWidth="1"/>
    <col min="8230" max="8230" width="1.625" style="152" customWidth="1"/>
    <col min="8231" max="8448" width="9.625" style="152"/>
    <col min="8449" max="8449" width="4.625" style="152" customWidth="1"/>
    <col min="8450" max="8450" width="8.625" style="152" customWidth="1"/>
    <col min="8451" max="8451" width="4.625" style="152" customWidth="1"/>
    <col min="8452" max="8452" width="13.625" style="152" customWidth="1"/>
    <col min="8453" max="8453" width="14.625" style="152" customWidth="1"/>
    <col min="8454" max="8455" width="3.625" style="152" customWidth="1"/>
    <col min="8456" max="8456" width="5.625" style="152" customWidth="1"/>
    <col min="8457" max="8457" width="7.625" style="152" customWidth="1"/>
    <col min="8458" max="8458" width="1.625" style="152" customWidth="1"/>
    <col min="8459" max="8480" width="6.625" style="152" customWidth="1"/>
    <col min="8481" max="8481" width="9.625" style="152" customWidth="1"/>
    <col min="8482" max="8482" width="6.625" style="152" customWidth="1"/>
    <col min="8483" max="8483" width="25.625" style="152" customWidth="1"/>
    <col min="8484" max="8484" width="1.625" style="152" customWidth="1"/>
    <col min="8485" max="8485" width="7.625" style="152" customWidth="1"/>
    <col min="8486" max="8486" width="1.625" style="152" customWidth="1"/>
    <col min="8487" max="8704" width="9.625" style="152"/>
    <col min="8705" max="8705" width="4.625" style="152" customWidth="1"/>
    <col min="8706" max="8706" width="8.625" style="152" customWidth="1"/>
    <col min="8707" max="8707" width="4.625" style="152" customWidth="1"/>
    <col min="8708" max="8708" width="13.625" style="152" customWidth="1"/>
    <col min="8709" max="8709" width="14.625" style="152" customWidth="1"/>
    <col min="8710" max="8711" width="3.625" style="152" customWidth="1"/>
    <col min="8712" max="8712" width="5.625" style="152" customWidth="1"/>
    <col min="8713" max="8713" width="7.625" style="152" customWidth="1"/>
    <col min="8714" max="8714" width="1.625" style="152" customWidth="1"/>
    <col min="8715" max="8736" width="6.625" style="152" customWidth="1"/>
    <col min="8737" max="8737" width="9.625" style="152" customWidth="1"/>
    <col min="8738" max="8738" width="6.625" style="152" customWidth="1"/>
    <col min="8739" max="8739" width="25.625" style="152" customWidth="1"/>
    <col min="8740" max="8740" width="1.625" style="152" customWidth="1"/>
    <col min="8741" max="8741" width="7.625" style="152" customWidth="1"/>
    <col min="8742" max="8742" width="1.625" style="152" customWidth="1"/>
    <col min="8743" max="8960" width="9.625" style="152"/>
    <col min="8961" max="8961" width="4.625" style="152" customWidth="1"/>
    <col min="8962" max="8962" width="8.625" style="152" customWidth="1"/>
    <col min="8963" max="8963" width="4.625" style="152" customWidth="1"/>
    <col min="8964" max="8964" width="13.625" style="152" customWidth="1"/>
    <col min="8965" max="8965" width="14.625" style="152" customWidth="1"/>
    <col min="8966" max="8967" width="3.625" style="152" customWidth="1"/>
    <col min="8968" max="8968" width="5.625" style="152" customWidth="1"/>
    <col min="8969" max="8969" width="7.625" style="152" customWidth="1"/>
    <col min="8970" max="8970" width="1.625" style="152" customWidth="1"/>
    <col min="8971" max="8992" width="6.625" style="152" customWidth="1"/>
    <col min="8993" max="8993" width="9.625" style="152" customWidth="1"/>
    <col min="8994" max="8994" width="6.625" style="152" customWidth="1"/>
    <col min="8995" max="8995" width="25.625" style="152" customWidth="1"/>
    <col min="8996" max="8996" width="1.625" style="152" customWidth="1"/>
    <col min="8997" max="8997" width="7.625" style="152" customWidth="1"/>
    <col min="8998" max="8998" width="1.625" style="152" customWidth="1"/>
    <col min="8999" max="9216" width="9.625" style="152"/>
    <col min="9217" max="9217" width="4.625" style="152" customWidth="1"/>
    <col min="9218" max="9218" width="8.625" style="152" customWidth="1"/>
    <col min="9219" max="9219" width="4.625" style="152" customWidth="1"/>
    <col min="9220" max="9220" width="13.625" style="152" customWidth="1"/>
    <col min="9221" max="9221" width="14.625" style="152" customWidth="1"/>
    <col min="9222" max="9223" width="3.625" style="152" customWidth="1"/>
    <col min="9224" max="9224" width="5.625" style="152" customWidth="1"/>
    <col min="9225" max="9225" width="7.625" style="152" customWidth="1"/>
    <col min="9226" max="9226" width="1.625" style="152" customWidth="1"/>
    <col min="9227" max="9248" width="6.625" style="152" customWidth="1"/>
    <col min="9249" max="9249" width="9.625" style="152" customWidth="1"/>
    <col min="9250" max="9250" width="6.625" style="152" customWidth="1"/>
    <col min="9251" max="9251" width="25.625" style="152" customWidth="1"/>
    <col min="9252" max="9252" width="1.625" style="152" customWidth="1"/>
    <col min="9253" max="9253" width="7.625" style="152" customWidth="1"/>
    <col min="9254" max="9254" width="1.625" style="152" customWidth="1"/>
    <col min="9255" max="9472" width="9.625" style="152"/>
    <col min="9473" max="9473" width="4.625" style="152" customWidth="1"/>
    <col min="9474" max="9474" width="8.625" style="152" customWidth="1"/>
    <col min="9475" max="9475" width="4.625" style="152" customWidth="1"/>
    <col min="9476" max="9476" width="13.625" style="152" customWidth="1"/>
    <col min="9477" max="9477" width="14.625" style="152" customWidth="1"/>
    <col min="9478" max="9479" width="3.625" style="152" customWidth="1"/>
    <col min="9480" max="9480" width="5.625" style="152" customWidth="1"/>
    <col min="9481" max="9481" width="7.625" style="152" customWidth="1"/>
    <col min="9482" max="9482" width="1.625" style="152" customWidth="1"/>
    <col min="9483" max="9504" width="6.625" style="152" customWidth="1"/>
    <col min="9505" max="9505" width="9.625" style="152" customWidth="1"/>
    <col min="9506" max="9506" width="6.625" style="152" customWidth="1"/>
    <col min="9507" max="9507" width="25.625" style="152" customWidth="1"/>
    <col min="9508" max="9508" width="1.625" style="152" customWidth="1"/>
    <col min="9509" max="9509" width="7.625" style="152" customWidth="1"/>
    <col min="9510" max="9510" width="1.625" style="152" customWidth="1"/>
    <col min="9511" max="9728" width="9.625" style="152"/>
    <col min="9729" max="9729" width="4.625" style="152" customWidth="1"/>
    <col min="9730" max="9730" width="8.625" style="152" customWidth="1"/>
    <col min="9731" max="9731" width="4.625" style="152" customWidth="1"/>
    <col min="9732" max="9732" width="13.625" style="152" customWidth="1"/>
    <col min="9733" max="9733" width="14.625" style="152" customWidth="1"/>
    <col min="9734" max="9735" width="3.625" style="152" customWidth="1"/>
    <col min="9736" max="9736" width="5.625" style="152" customWidth="1"/>
    <col min="9737" max="9737" width="7.625" style="152" customWidth="1"/>
    <col min="9738" max="9738" width="1.625" style="152" customWidth="1"/>
    <col min="9739" max="9760" width="6.625" style="152" customWidth="1"/>
    <col min="9761" max="9761" width="9.625" style="152" customWidth="1"/>
    <col min="9762" max="9762" width="6.625" style="152" customWidth="1"/>
    <col min="9763" max="9763" width="25.625" style="152" customWidth="1"/>
    <col min="9764" max="9764" width="1.625" style="152" customWidth="1"/>
    <col min="9765" max="9765" width="7.625" style="152" customWidth="1"/>
    <col min="9766" max="9766" width="1.625" style="152" customWidth="1"/>
    <col min="9767" max="9984" width="9.625" style="152"/>
    <col min="9985" max="9985" width="4.625" style="152" customWidth="1"/>
    <col min="9986" max="9986" width="8.625" style="152" customWidth="1"/>
    <col min="9987" max="9987" width="4.625" style="152" customWidth="1"/>
    <col min="9988" max="9988" width="13.625" style="152" customWidth="1"/>
    <col min="9989" max="9989" width="14.625" style="152" customWidth="1"/>
    <col min="9990" max="9991" width="3.625" style="152" customWidth="1"/>
    <col min="9992" max="9992" width="5.625" style="152" customWidth="1"/>
    <col min="9993" max="9993" width="7.625" style="152" customWidth="1"/>
    <col min="9994" max="9994" width="1.625" style="152" customWidth="1"/>
    <col min="9995" max="10016" width="6.625" style="152" customWidth="1"/>
    <col min="10017" max="10017" width="9.625" style="152" customWidth="1"/>
    <col min="10018" max="10018" width="6.625" style="152" customWidth="1"/>
    <col min="10019" max="10019" width="25.625" style="152" customWidth="1"/>
    <col min="10020" max="10020" width="1.625" style="152" customWidth="1"/>
    <col min="10021" max="10021" width="7.625" style="152" customWidth="1"/>
    <col min="10022" max="10022" width="1.625" style="152" customWidth="1"/>
    <col min="10023" max="10240" width="9.625" style="152"/>
    <col min="10241" max="10241" width="4.625" style="152" customWidth="1"/>
    <col min="10242" max="10242" width="8.625" style="152" customWidth="1"/>
    <col min="10243" max="10243" width="4.625" style="152" customWidth="1"/>
    <col min="10244" max="10244" width="13.625" style="152" customWidth="1"/>
    <col min="10245" max="10245" width="14.625" style="152" customWidth="1"/>
    <col min="10246" max="10247" width="3.625" style="152" customWidth="1"/>
    <col min="10248" max="10248" width="5.625" style="152" customWidth="1"/>
    <col min="10249" max="10249" width="7.625" style="152" customWidth="1"/>
    <col min="10250" max="10250" width="1.625" style="152" customWidth="1"/>
    <col min="10251" max="10272" width="6.625" style="152" customWidth="1"/>
    <col min="10273" max="10273" width="9.625" style="152" customWidth="1"/>
    <col min="10274" max="10274" width="6.625" style="152" customWidth="1"/>
    <col min="10275" max="10275" width="25.625" style="152" customWidth="1"/>
    <col min="10276" max="10276" width="1.625" style="152" customWidth="1"/>
    <col min="10277" max="10277" width="7.625" style="152" customWidth="1"/>
    <col min="10278" max="10278" width="1.625" style="152" customWidth="1"/>
    <col min="10279" max="10496" width="9.625" style="152"/>
    <col min="10497" max="10497" width="4.625" style="152" customWidth="1"/>
    <col min="10498" max="10498" width="8.625" style="152" customWidth="1"/>
    <col min="10499" max="10499" width="4.625" style="152" customWidth="1"/>
    <col min="10500" max="10500" width="13.625" style="152" customWidth="1"/>
    <col min="10501" max="10501" width="14.625" style="152" customWidth="1"/>
    <col min="10502" max="10503" width="3.625" style="152" customWidth="1"/>
    <col min="10504" max="10504" width="5.625" style="152" customWidth="1"/>
    <col min="10505" max="10505" width="7.625" style="152" customWidth="1"/>
    <col min="10506" max="10506" width="1.625" style="152" customWidth="1"/>
    <col min="10507" max="10528" width="6.625" style="152" customWidth="1"/>
    <col min="10529" max="10529" width="9.625" style="152" customWidth="1"/>
    <col min="10530" max="10530" width="6.625" style="152" customWidth="1"/>
    <col min="10531" max="10531" width="25.625" style="152" customWidth="1"/>
    <col min="10532" max="10532" width="1.625" style="152" customWidth="1"/>
    <col min="10533" max="10533" width="7.625" style="152" customWidth="1"/>
    <col min="10534" max="10534" width="1.625" style="152" customWidth="1"/>
    <col min="10535" max="10752" width="9.625" style="152"/>
    <col min="10753" max="10753" width="4.625" style="152" customWidth="1"/>
    <col min="10754" max="10754" width="8.625" style="152" customWidth="1"/>
    <col min="10755" max="10755" width="4.625" style="152" customWidth="1"/>
    <col min="10756" max="10756" width="13.625" style="152" customWidth="1"/>
    <col min="10757" max="10757" width="14.625" style="152" customWidth="1"/>
    <col min="10758" max="10759" width="3.625" style="152" customWidth="1"/>
    <col min="10760" max="10760" width="5.625" style="152" customWidth="1"/>
    <col min="10761" max="10761" width="7.625" style="152" customWidth="1"/>
    <col min="10762" max="10762" width="1.625" style="152" customWidth="1"/>
    <col min="10763" max="10784" width="6.625" style="152" customWidth="1"/>
    <col min="10785" max="10785" width="9.625" style="152" customWidth="1"/>
    <col min="10786" max="10786" width="6.625" style="152" customWidth="1"/>
    <col min="10787" max="10787" width="25.625" style="152" customWidth="1"/>
    <col min="10788" max="10788" width="1.625" style="152" customWidth="1"/>
    <col min="10789" max="10789" width="7.625" style="152" customWidth="1"/>
    <col min="10790" max="10790" width="1.625" style="152" customWidth="1"/>
    <col min="10791" max="11008" width="9.625" style="152"/>
    <col min="11009" max="11009" width="4.625" style="152" customWidth="1"/>
    <col min="11010" max="11010" width="8.625" style="152" customWidth="1"/>
    <col min="11011" max="11011" width="4.625" style="152" customWidth="1"/>
    <col min="11012" max="11012" width="13.625" style="152" customWidth="1"/>
    <col min="11013" max="11013" width="14.625" style="152" customWidth="1"/>
    <col min="11014" max="11015" width="3.625" style="152" customWidth="1"/>
    <col min="11016" max="11016" width="5.625" style="152" customWidth="1"/>
    <col min="11017" max="11017" width="7.625" style="152" customWidth="1"/>
    <col min="11018" max="11018" width="1.625" style="152" customWidth="1"/>
    <col min="11019" max="11040" width="6.625" style="152" customWidth="1"/>
    <col min="11041" max="11041" width="9.625" style="152" customWidth="1"/>
    <col min="11042" max="11042" width="6.625" style="152" customWidth="1"/>
    <col min="11043" max="11043" width="25.625" style="152" customWidth="1"/>
    <col min="11044" max="11044" width="1.625" style="152" customWidth="1"/>
    <col min="11045" max="11045" width="7.625" style="152" customWidth="1"/>
    <col min="11046" max="11046" width="1.625" style="152" customWidth="1"/>
    <col min="11047" max="11264" width="9.625" style="152"/>
    <col min="11265" max="11265" width="4.625" style="152" customWidth="1"/>
    <col min="11266" max="11266" width="8.625" style="152" customWidth="1"/>
    <col min="11267" max="11267" width="4.625" style="152" customWidth="1"/>
    <col min="11268" max="11268" width="13.625" style="152" customWidth="1"/>
    <col min="11269" max="11269" width="14.625" style="152" customWidth="1"/>
    <col min="11270" max="11271" width="3.625" style="152" customWidth="1"/>
    <col min="11272" max="11272" width="5.625" style="152" customWidth="1"/>
    <col min="11273" max="11273" width="7.625" style="152" customWidth="1"/>
    <col min="11274" max="11274" width="1.625" style="152" customWidth="1"/>
    <col min="11275" max="11296" width="6.625" style="152" customWidth="1"/>
    <col min="11297" max="11297" width="9.625" style="152" customWidth="1"/>
    <col min="11298" max="11298" width="6.625" style="152" customWidth="1"/>
    <col min="11299" max="11299" width="25.625" style="152" customWidth="1"/>
    <col min="11300" max="11300" width="1.625" style="152" customWidth="1"/>
    <col min="11301" max="11301" width="7.625" style="152" customWidth="1"/>
    <col min="11302" max="11302" width="1.625" style="152" customWidth="1"/>
    <col min="11303" max="11520" width="9.625" style="152"/>
    <col min="11521" max="11521" width="4.625" style="152" customWidth="1"/>
    <col min="11522" max="11522" width="8.625" style="152" customWidth="1"/>
    <col min="11523" max="11523" width="4.625" style="152" customWidth="1"/>
    <col min="11524" max="11524" width="13.625" style="152" customWidth="1"/>
    <col min="11525" max="11525" width="14.625" style="152" customWidth="1"/>
    <col min="11526" max="11527" width="3.625" style="152" customWidth="1"/>
    <col min="11528" max="11528" width="5.625" style="152" customWidth="1"/>
    <col min="11529" max="11529" width="7.625" style="152" customWidth="1"/>
    <col min="11530" max="11530" width="1.625" style="152" customWidth="1"/>
    <col min="11531" max="11552" width="6.625" style="152" customWidth="1"/>
    <col min="11553" max="11553" width="9.625" style="152" customWidth="1"/>
    <col min="11554" max="11554" width="6.625" style="152" customWidth="1"/>
    <col min="11555" max="11555" width="25.625" style="152" customWidth="1"/>
    <col min="11556" max="11556" width="1.625" style="152" customWidth="1"/>
    <col min="11557" max="11557" width="7.625" style="152" customWidth="1"/>
    <col min="11558" max="11558" width="1.625" style="152" customWidth="1"/>
    <col min="11559" max="11776" width="9.625" style="152"/>
    <col min="11777" max="11777" width="4.625" style="152" customWidth="1"/>
    <col min="11778" max="11778" width="8.625" style="152" customWidth="1"/>
    <col min="11779" max="11779" width="4.625" style="152" customWidth="1"/>
    <col min="11780" max="11780" width="13.625" style="152" customWidth="1"/>
    <col min="11781" max="11781" width="14.625" style="152" customWidth="1"/>
    <col min="11782" max="11783" width="3.625" style="152" customWidth="1"/>
    <col min="11784" max="11784" width="5.625" style="152" customWidth="1"/>
    <col min="11785" max="11785" width="7.625" style="152" customWidth="1"/>
    <col min="11786" max="11786" width="1.625" style="152" customWidth="1"/>
    <col min="11787" max="11808" width="6.625" style="152" customWidth="1"/>
    <col min="11809" max="11809" width="9.625" style="152" customWidth="1"/>
    <col min="11810" max="11810" width="6.625" style="152" customWidth="1"/>
    <col min="11811" max="11811" width="25.625" style="152" customWidth="1"/>
    <col min="11812" max="11812" width="1.625" style="152" customWidth="1"/>
    <col min="11813" max="11813" width="7.625" style="152" customWidth="1"/>
    <col min="11814" max="11814" width="1.625" style="152" customWidth="1"/>
    <col min="11815" max="12032" width="9.625" style="152"/>
    <col min="12033" max="12033" width="4.625" style="152" customWidth="1"/>
    <col min="12034" max="12034" width="8.625" style="152" customWidth="1"/>
    <col min="12035" max="12035" width="4.625" style="152" customWidth="1"/>
    <col min="12036" max="12036" width="13.625" style="152" customWidth="1"/>
    <col min="12037" max="12037" width="14.625" style="152" customWidth="1"/>
    <col min="12038" max="12039" width="3.625" style="152" customWidth="1"/>
    <col min="12040" max="12040" width="5.625" style="152" customWidth="1"/>
    <col min="12041" max="12041" width="7.625" style="152" customWidth="1"/>
    <col min="12042" max="12042" width="1.625" style="152" customWidth="1"/>
    <col min="12043" max="12064" width="6.625" style="152" customWidth="1"/>
    <col min="12065" max="12065" width="9.625" style="152" customWidth="1"/>
    <col min="12066" max="12066" width="6.625" style="152" customWidth="1"/>
    <col min="12067" max="12067" width="25.625" style="152" customWidth="1"/>
    <col min="12068" max="12068" width="1.625" style="152" customWidth="1"/>
    <col min="12069" max="12069" width="7.625" style="152" customWidth="1"/>
    <col min="12070" max="12070" width="1.625" style="152" customWidth="1"/>
    <col min="12071" max="12288" width="9.625" style="152"/>
    <col min="12289" max="12289" width="4.625" style="152" customWidth="1"/>
    <col min="12290" max="12290" width="8.625" style="152" customWidth="1"/>
    <col min="12291" max="12291" width="4.625" style="152" customWidth="1"/>
    <col min="12292" max="12292" width="13.625" style="152" customWidth="1"/>
    <col min="12293" max="12293" width="14.625" style="152" customWidth="1"/>
    <col min="12294" max="12295" width="3.625" style="152" customWidth="1"/>
    <col min="12296" max="12296" width="5.625" style="152" customWidth="1"/>
    <col min="12297" max="12297" width="7.625" style="152" customWidth="1"/>
    <col min="12298" max="12298" width="1.625" style="152" customWidth="1"/>
    <col min="12299" max="12320" width="6.625" style="152" customWidth="1"/>
    <col min="12321" max="12321" width="9.625" style="152" customWidth="1"/>
    <col min="12322" max="12322" width="6.625" style="152" customWidth="1"/>
    <col min="12323" max="12323" width="25.625" style="152" customWidth="1"/>
    <col min="12324" max="12324" width="1.625" style="152" customWidth="1"/>
    <col min="12325" max="12325" width="7.625" style="152" customWidth="1"/>
    <col min="12326" max="12326" width="1.625" style="152" customWidth="1"/>
    <col min="12327" max="12544" width="9.625" style="152"/>
    <col min="12545" max="12545" width="4.625" style="152" customWidth="1"/>
    <col min="12546" max="12546" width="8.625" style="152" customWidth="1"/>
    <col min="12547" max="12547" width="4.625" style="152" customWidth="1"/>
    <col min="12548" max="12548" width="13.625" style="152" customWidth="1"/>
    <col min="12549" max="12549" width="14.625" style="152" customWidth="1"/>
    <col min="12550" max="12551" width="3.625" style="152" customWidth="1"/>
    <col min="12552" max="12552" width="5.625" style="152" customWidth="1"/>
    <col min="12553" max="12553" width="7.625" style="152" customWidth="1"/>
    <col min="12554" max="12554" width="1.625" style="152" customWidth="1"/>
    <col min="12555" max="12576" width="6.625" style="152" customWidth="1"/>
    <col min="12577" max="12577" width="9.625" style="152" customWidth="1"/>
    <col min="12578" max="12578" width="6.625" style="152" customWidth="1"/>
    <col min="12579" max="12579" width="25.625" style="152" customWidth="1"/>
    <col min="12580" max="12580" width="1.625" style="152" customWidth="1"/>
    <col min="12581" max="12581" width="7.625" style="152" customWidth="1"/>
    <col min="12582" max="12582" width="1.625" style="152" customWidth="1"/>
    <col min="12583" max="12800" width="9.625" style="152"/>
    <col min="12801" max="12801" width="4.625" style="152" customWidth="1"/>
    <col min="12802" max="12802" width="8.625" style="152" customWidth="1"/>
    <col min="12803" max="12803" width="4.625" style="152" customWidth="1"/>
    <col min="12804" max="12804" width="13.625" style="152" customWidth="1"/>
    <col min="12805" max="12805" width="14.625" style="152" customWidth="1"/>
    <col min="12806" max="12807" width="3.625" style="152" customWidth="1"/>
    <col min="12808" max="12808" width="5.625" style="152" customWidth="1"/>
    <col min="12809" max="12809" width="7.625" style="152" customWidth="1"/>
    <col min="12810" max="12810" width="1.625" style="152" customWidth="1"/>
    <col min="12811" max="12832" width="6.625" style="152" customWidth="1"/>
    <col min="12833" max="12833" width="9.625" style="152" customWidth="1"/>
    <col min="12834" max="12834" width="6.625" style="152" customWidth="1"/>
    <col min="12835" max="12835" width="25.625" style="152" customWidth="1"/>
    <col min="12836" max="12836" width="1.625" style="152" customWidth="1"/>
    <col min="12837" max="12837" width="7.625" style="152" customWidth="1"/>
    <col min="12838" max="12838" width="1.625" style="152" customWidth="1"/>
    <col min="12839" max="13056" width="9.625" style="152"/>
    <col min="13057" max="13057" width="4.625" style="152" customWidth="1"/>
    <col min="13058" max="13058" width="8.625" style="152" customWidth="1"/>
    <col min="13059" max="13059" width="4.625" style="152" customWidth="1"/>
    <col min="13060" max="13060" width="13.625" style="152" customWidth="1"/>
    <col min="13061" max="13061" width="14.625" style="152" customWidth="1"/>
    <col min="13062" max="13063" width="3.625" style="152" customWidth="1"/>
    <col min="13064" max="13064" width="5.625" style="152" customWidth="1"/>
    <col min="13065" max="13065" width="7.625" style="152" customWidth="1"/>
    <col min="13066" max="13066" width="1.625" style="152" customWidth="1"/>
    <col min="13067" max="13088" width="6.625" style="152" customWidth="1"/>
    <col min="13089" max="13089" width="9.625" style="152" customWidth="1"/>
    <col min="13090" max="13090" width="6.625" style="152" customWidth="1"/>
    <col min="13091" max="13091" width="25.625" style="152" customWidth="1"/>
    <col min="13092" max="13092" width="1.625" style="152" customWidth="1"/>
    <col min="13093" max="13093" width="7.625" style="152" customWidth="1"/>
    <col min="13094" max="13094" width="1.625" style="152" customWidth="1"/>
    <col min="13095" max="13312" width="9.625" style="152"/>
    <col min="13313" max="13313" width="4.625" style="152" customWidth="1"/>
    <col min="13314" max="13314" width="8.625" style="152" customWidth="1"/>
    <col min="13315" max="13315" width="4.625" style="152" customWidth="1"/>
    <col min="13316" max="13316" width="13.625" style="152" customWidth="1"/>
    <col min="13317" max="13317" width="14.625" style="152" customWidth="1"/>
    <col min="13318" max="13319" width="3.625" style="152" customWidth="1"/>
    <col min="13320" max="13320" width="5.625" style="152" customWidth="1"/>
    <col min="13321" max="13321" width="7.625" style="152" customWidth="1"/>
    <col min="13322" max="13322" width="1.625" style="152" customWidth="1"/>
    <col min="13323" max="13344" width="6.625" style="152" customWidth="1"/>
    <col min="13345" max="13345" width="9.625" style="152" customWidth="1"/>
    <col min="13346" max="13346" width="6.625" style="152" customWidth="1"/>
    <col min="13347" max="13347" width="25.625" style="152" customWidth="1"/>
    <col min="13348" max="13348" width="1.625" style="152" customWidth="1"/>
    <col min="13349" max="13349" width="7.625" style="152" customWidth="1"/>
    <col min="13350" max="13350" width="1.625" style="152" customWidth="1"/>
    <col min="13351" max="13568" width="9.625" style="152"/>
    <col min="13569" max="13569" width="4.625" style="152" customWidth="1"/>
    <col min="13570" max="13570" width="8.625" style="152" customWidth="1"/>
    <col min="13571" max="13571" width="4.625" style="152" customWidth="1"/>
    <col min="13572" max="13572" width="13.625" style="152" customWidth="1"/>
    <col min="13573" max="13573" width="14.625" style="152" customWidth="1"/>
    <col min="13574" max="13575" width="3.625" style="152" customWidth="1"/>
    <col min="13576" max="13576" width="5.625" style="152" customWidth="1"/>
    <col min="13577" max="13577" width="7.625" style="152" customWidth="1"/>
    <col min="13578" max="13578" width="1.625" style="152" customWidth="1"/>
    <col min="13579" max="13600" width="6.625" style="152" customWidth="1"/>
    <col min="13601" max="13601" width="9.625" style="152" customWidth="1"/>
    <col min="13602" max="13602" width="6.625" style="152" customWidth="1"/>
    <col min="13603" max="13603" width="25.625" style="152" customWidth="1"/>
    <col min="13604" max="13604" width="1.625" style="152" customWidth="1"/>
    <col min="13605" max="13605" width="7.625" style="152" customWidth="1"/>
    <col min="13606" max="13606" width="1.625" style="152" customWidth="1"/>
    <col min="13607" max="13824" width="9.625" style="152"/>
    <col min="13825" max="13825" width="4.625" style="152" customWidth="1"/>
    <col min="13826" max="13826" width="8.625" style="152" customWidth="1"/>
    <col min="13827" max="13827" width="4.625" style="152" customWidth="1"/>
    <col min="13828" max="13828" width="13.625" style="152" customWidth="1"/>
    <col min="13829" max="13829" width="14.625" style="152" customWidth="1"/>
    <col min="13830" max="13831" width="3.625" style="152" customWidth="1"/>
    <col min="13832" max="13832" width="5.625" style="152" customWidth="1"/>
    <col min="13833" max="13833" width="7.625" style="152" customWidth="1"/>
    <col min="13834" max="13834" width="1.625" style="152" customWidth="1"/>
    <col min="13835" max="13856" width="6.625" style="152" customWidth="1"/>
    <col min="13857" max="13857" width="9.625" style="152" customWidth="1"/>
    <col min="13858" max="13858" width="6.625" style="152" customWidth="1"/>
    <col min="13859" max="13859" width="25.625" style="152" customWidth="1"/>
    <col min="13860" max="13860" width="1.625" style="152" customWidth="1"/>
    <col min="13861" max="13861" width="7.625" style="152" customWidth="1"/>
    <col min="13862" max="13862" width="1.625" style="152" customWidth="1"/>
    <col min="13863" max="14080" width="9.625" style="152"/>
    <col min="14081" max="14081" width="4.625" style="152" customWidth="1"/>
    <col min="14082" max="14082" width="8.625" style="152" customWidth="1"/>
    <col min="14083" max="14083" width="4.625" style="152" customWidth="1"/>
    <col min="14084" max="14084" width="13.625" style="152" customWidth="1"/>
    <col min="14085" max="14085" width="14.625" style="152" customWidth="1"/>
    <col min="14086" max="14087" width="3.625" style="152" customWidth="1"/>
    <col min="14088" max="14088" width="5.625" style="152" customWidth="1"/>
    <col min="14089" max="14089" width="7.625" style="152" customWidth="1"/>
    <col min="14090" max="14090" width="1.625" style="152" customWidth="1"/>
    <col min="14091" max="14112" width="6.625" style="152" customWidth="1"/>
    <col min="14113" max="14113" width="9.625" style="152" customWidth="1"/>
    <col min="14114" max="14114" width="6.625" style="152" customWidth="1"/>
    <col min="14115" max="14115" width="25.625" style="152" customWidth="1"/>
    <col min="14116" max="14116" width="1.625" style="152" customWidth="1"/>
    <col min="14117" max="14117" width="7.625" style="152" customWidth="1"/>
    <col min="14118" max="14118" width="1.625" style="152" customWidth="1"/>
    <col min="14119" max="14336" width="9.625" style="152"/>
    <col min="14337" max="14337" width="4.625" style="152" customWidth="1"/>
    <col min="14338" max="14338" width="8.625" style="152" customWidth="1"/>
    <col min="14339" max="14339" width="4.625" style="152" customWidth="1"/>
    <col min="14340" max="14340" width="13.625" style="152" customWidth="1"/>
    <col min="14341" max="14341" width="14.625" style="152" customWidth="1"/>
    <col min="14342" max="14343" width="3.625" style="152" customWidth="1"/>
    <col min="14344" max="14344" width="5.625" style="152" customWidth="1"/>
    <col min="14345" max="14345" width="7.625" style="152" customWidth="1"/>
    <col min="14346" max="14346" width="1.625" style="152" customWidth="1"/>
    <col min="14347" max="14368" width="6.625" style="152" customWidth="1"/>
    <col min="14369" max="14369" width="9.625" style="152" customWidth="1"/>
    <col min="14370" max="14370" width="6.625" style="152" customWidth="1"/>
    <col min="14371" max="14371" width="25.625" style="152" customWidth="1"/>
    <col min="14372" max="14372" width="1.625" style="152" customWidth="1"/>
    <col min="14373" max="14373" width="7.625" style="152" customWidth="1"/>
    <col min="14374" max="14374" width="1.625" style="152" customWidth="1"/>
    <col min="14375" max="14592" width="9.625" style="152"/>
    <col min="14593" max="14593" width="4.625" style="152" customWidth="1"/>
    <col min="14594" max="14594" width="8.625" style="152" customWidth="1"/>
    <col min="14595" max="14595" width="4.625" style="152" customWidth="1"/>
    <col min="14596" max="14596" width="13.625" style="152" customWidth="1"/>
    <col min="14597" max="14597" width="14.625" style="152" customWidth="1"/>
    <col min="14598" max="14599" width="3.625" style="152" customWidth="1"/>
    <col min="14600" max="14600" width="5.625" style="152" customWidth="1"/>
    <col min="14601" max="14601" width="7.625" style="152" customWidth="1"/>
    <col min="14602" max="14602" width="1.625" style="152" customWidth="1"/>
    <col min="14603" max="14624" width="6.625" style="152" customWidth="1"/>
    <col min="14625" max="14625" width="9.625" style="152" customWidth="1"/>
    <col min="14626" max="14626" width="6.625" style="152" customWidth="1"/>
    <col min="14627" max="14627" width="25.625" style="152" customWidth="1"/>
    <col min="14628" max="14628" width="1.625" style="152" customWidth="1"/>
    <col min="14629" max="14629" width="7.625" style="152" customWidth="1"/>
    <col min="14630" max="14630" width="1.625" style="152" customWidth="1"/>
    <col min="14631" max="14848" width="9.625" style="152"/>
    <col min="14849" max="14849" width="4.625" style="152" customWidth="1"/>
    <col min="14850" max="14850" width="8.625" style="152" customWidth="1"/>
    <col min="14851" max="14851" width="4.625" style="152" customWidth="1"/>
    <col min="14852" max="14852" width="13.625" style="152" customWidth="1"/>
    <col min="14853" max="14853" width="14.625" style="152" customWidth="1"/>
    <col min="14854" max="14855" width="3.625" style="152" customWidth="1"/>
    <col min="14856" max="14856" width="5.625" style="152" customWidth="1"/>
    <col min="14857" max="14857" width="7.625" style="152" customWidth="1"/>
    <col min="14858" max="14858" width="1.625" style="152" customWidth="1"/>
    <col min="14859" max="14880" width="6.625" style="152" customWidth="1"/>
    <col min="14881" max="14881" width="9.625" style="152" customWidth="1"/>
    <col min="14882" max="14882" width="6.625" style="152" customWidth="1"/>
    <col min="14883" max="14883" width="25.625" style="152" customWidth="1"/>
    <col min="14884" max="14884" width="1.625" style="152" customWidth="1"/>
    <col min="14885" max="14885" width="7.625" style="152" customWidth="1"/>
    <col min="14886" max="14886" width="1.625" style="152" customWidth="1"/>
    <col min="14887" max="15104" width="9.625" style="152"/>
    <col min="15105" max="15105" width="4.625" style="152" customWidth="1"/>
    <col min="15106" max="15106" width="8.625" style="152" customWidth="1"/>
    <col min="15107" max="15107" width="4.625" style="152" customWidth="1"/>
    <col min="15108" max="15108" width="13.625" style="152" customWidth="1"/>
    <col min="15109" max="15109" width="14.625" style="152" customWidth="1"/>
    <col min="15110" max="15111" width="3.625" style="152" customWidth="1"/>
    <col min="15112" max="15112" width="5.625" style="152" customWidth="1"/>
    <col min="15113" max="15113" width="7.625" style="152" customWidth="1"/>
    <col min="15114" max="15114" width="1.625" style="152" customWidth="1"/>
    <col min="15115" max="15136" width="6.625" style="152" customWidth="1"/>
    <col min="15137" max="15137" width="9.625" style="152" customWidth="1"/>
    <col min="15138" max="15138" width="6.625" style="152" customWidth="1"/>
    <col min="15139" max="15139" width="25.625" style="152" customWidth="1"/>
    <col min="15140" max="15140" width="1.625" style="152" customWidth="1"/>
    <col min="15141" max="15141" width="7.625" style="152" customWidth="1"/>
    <col min="15142" max="15142" width="1.625" style="152" customWidth="1"/>
    <col min="15143" max="15360" width="9.625" style="152"/>
    <col min="15361" max="15361" width="4.625" style="152" customWidth="1"/>
    <col min="15362" max="15362" width="8.625" style="152" customWidth="1"/>
    <col min="15363" max="15363" width="4.625" style="152" customWidth="1"/>
    <col min="15364" max="15364" width="13.625" style="152" customWidth="1"/>
    <col min="15365" max="15365" width="14.625" style="152" customWidth="1"/>
    <col min="15366" max="15367" width="3.625" style="152" customWidth="1"/>
    <col min="15368" max="15368" width="5.625" style="152" customWidth="1"/>
    <col min="15369" max="15369" width="7.625" style="152" customWidth="1"/>
    <col min="15370" max="15370" width="1.625" style="152" customWidth="1"/>
    <col min="15371" max="15392" width="6.625" style="152" customWidth="1"/>
    <col min="15393" max="15393" width="9.625" style="152" customWidth="1"/>
    <col min="15394" max="15394" width="6.625" style="152" customWidth="1"/>
    <col min="15395" max="15395" width="25.625" style="152" customWidth="1"/>
    <col min="15396" max="15396" width="1.625" style="152" customWidth="1"/>
    <col min="15397" max="15397" width="7.625" style="152" customWidth="1"/>
    <col min="15398" max="15398" width="1.625" style="152" customWidth="1"/>
    <col min="15399" max="15616" width="9.625" style="152"/>
    <col min="15617" max="15617" width="4.625" style="152" customWidth="1"/>
    <col min="15618" max="15618" width="8.625" style="152" customWidth="1"/>
    <col min="15619" max="15619" width="4.625" style="152" customWidth="1"/>
    <col min="15620" max="15620" width="13.625" style="152" customWidth="1"/>
    <col min="15621" max="15621" width="14.625" style="152" customWidth="1"/>
    <col min="15622" max="15623" width="3.625" style="152" customWidth="1"/>
    <col min="15624" max="15624" width="5.625" style="152" customWidth="1"/>
    <col min="15625" max="15625" width="7.625" style="152" customWidth="1"/>
    <col min="15626" max="15626" width="1.625" style="152" customWidth="1"/>
    <col min="15627" max="15648" width="6.625" style="152" customWidth="1"/>
    <col min="15649" max="15649" width="9.625" style="152" customWidth="1"/>
    <col min="15650" max="15650" width="6.625" style="152" customWidth="1"/>
    <col min="15651" max="15651" width="25.625" style="152" customWidth="1"/>
    <col min="15652" max="15652" width="1.625" style="152" customWidth="1"/>
    <col min="15653" max="15653" width="7.625" style="152" customWidth="1"/>
    <col min="15654" max="15654" width="1.625" style="152" customWidth="1"/>
    <col min="15655" max="15872" width="9.625" style="152"/>
    <col min="15873" max="15873" width="4.625" style="152" customWidth="1"/>
    <col min="15874" max="15874" width="8.625" style="152" customWidth="1"/>
    <col min="15875" max="15875" width="4.625" style="152" customWidth="1"/>
    <col min="15876" max="15876" width="13.625" style="152" customWidth="1"/>
    <col min="15877" max="15877" width="14.625" style="152" customWidth="1"/>
    <col min="15878" max="15879" width="3.625" style="152" customWidth="1"/>
    <col min="15880" max="15880" width="5.625" style="152" customWidth="1"/>
    <col min="15881" max="15881" width="7.625" style="152" customWidth="1"/>
    <col min="15882" max="15882" width="1.625" style="152" customWidth="1"/>
    <col min="15883" max="15904" width="6.625" style="152" customWidth="1"/>
    <col min="15905" max="15905" width="9.625" style="152" customWidth="1"/>
    <col min="15906" max="15906" width="6.625" style="152" customWidth="1"/>
    <col min="15907" max="15907" width="25.625" style="152" customWidth="1"/>
    <col min="15908" max="15908" width="1.625" style="152" customWidth="1"/>
    <col min="15909" max="15909" width="7.625" style="152" customWidth="1"/>
    <col min="15910" max="15910" width="1.625" style="152" customWidth="1"/>
    <col min="15911" max="16128" width="9.625" style="152"/>
    <col min="16129" max="16129" width="4.625" style="152" customWidth="1"/>
    <col min="16130" max="16130" width="8.625" style="152" customWidth="1"/>
    <col min="16131" max="16131" width="4.625" style="152" customWidth="1"/>
    <col min="16132" max="16132" width="13.625" style="152" customWidth="1"/>
    <col min="16133" max="16133" width="14.625" style="152" customWidth="1"/>
    <col min="16134" max="16135" width="3.625" style="152" customWidth="1"/>
    <col min="16136" max="16136" width="5.625" style="152" customWidth="1"/>
    <col min="16137" max="16137" width="7.625" style="152" customWidth="1"/>
    <col min="16138" max="16138" width="1.625" style="152" customWidth="1"/>
    <col min="16139" max="16160" width="6.625" style="152" customWidth="1"/>
    <col min="16161" max="16161" width="9.625" style="152" customWidth="1"/>
    <col min="16162" max="16162" width="6.625" style="152" customWidth="1"/>
    <col min="16163" max="16163" width="25.625" style="152" customWidth="1"/>
    <col min="16164" max="16164" width="1.625" style="152" customWidth="1"/>
    <col min="16165" max="16165" width="7.625" style="152" customWidth="1"/>
    <col min="16166" max="16166" width="1.625" style="152" customWidth="1"/>
    <col min="16167" max="16384" width="9.625" style="152"/>
  </cols>
  <sheetData>
    <row r="1" spans="1:38">
      <c r="A1" s="143" t="s">
        <v>732</v>
      </c>
      <c r="B1" s="144" t="s">
        <v>733</v>
      </c>
      <c r="C1" s="143" t="s">
        <v>0</v>
      </c>
      <c r="D1" s="143" t="s">
        <v>734</v>
      </c>
      <c r="E1" s="143" t="s">
        <v>1</v>
      </c>
      <c r="F1" s="143" t="s">
        <v>2</v>
      </c>
      <c r="G1" s="143" t="s">
        <v>3</v>
      </c>
      <c r="H1" s="143" t="s">
        <v>4</v>
      </c>
      <c r="I1" s="143" t="s">
        <v>5</v>
      </c>
      <c r="J1" s="145"/>
      <c r="K1" s="143" t="s">
        <v>735</v>
      </c>
      <c r="L1" s="146">
        <v>50</v>
      </c>
      <c r="M1" s="146">
        <v>51</v>
      </c>
      <c r="N1" s="146">
        <v>52</v>
      </c>
      <c r="O1" s="146">
        <v>53</v>
      </c>
      <c r="P1" s="146">
        <v>54</v>
      </c>
      <c r="Q1" s="146">
        <v>55</v>
      </c>
      <c r="R1" s="146">
        <v>56</v>
      </c>
      <c r="S1" s="146">
        <v>57</v>
      </c>
      <c r="T1" s="146">
        <v>58</v>
      </c>
      <c r="U1" s="146">
        <v>59</v>
      </c>
      <c r="V1" s="146">
        <v>60</v>
      </c>
      <c r="W1" s="146">
        <v>61</v>
      </c>
      <c r="X1" s="146">
        <v>62</v>
      </c>
      <c r="Y1" s="146">
        <v>63</v>
      </c>
      <c r="Z1" s="143" t="s">
        <v>736</v>
      </c>
      <c r="AA1" s="146">
        <v>2</v>
      </c>
      <c r="AB1" s="146">
        <v>3</v>
      </c>
      <c r="AC1" s="146">
        <v>4</v>
      </c>
      <c r="AD1" s="146">
        <v>5</v>
      </c>
      <c r="AE1" s="147" t="s">
        <v>737</v>
      </c>
      <c r="AF1" s="146">
        <v>7</v>
      </c>
      <c r="AG1" s="148" t="s">
        <v>738</v>
      </c>
      <c r="AH1" s="143" t="s">
        <v>739</v>
      </c>
      <c r="AI1" s="143" t="s">
        <v>740</v>
      </c>
      <c r="AJ1" s="149"/>
      <c r="AK1" s="150" t="s">
        <v>741</v>
      </c>
      <c r="AL1" s="151"/>
    </row>
    <row r="2" spans="1:38">
      <c r="A2" s="146">
        <v>101</v>
      </c>
      <c r="B2" s="144" t="s">
        <v>742</v>
      </c>
      <c r="C2" s="143" t="s">
        <v>6</v>
      </c>
      <c r="D2" s="143" t="s">
        <v>7</v>
      </c>
      <c r="E2" s="143" t="s">
        <v>8</v>
      </c>
      <c r="F2" s="143" t="s">
        <v>9</v>
      </c>
      <c r="G2" s="143" t="s">
        <v>10</v>
      </c>
      <c r="H2" s="143" t="s">
        <v>743</v>
      </c>
      <c r="I2" s="143" t="s">
        <v>11</v>
      </c>
      <c r="J2" s="145"/>
      <c r="K2" s="145"/>
      <c r="L2" s="153"/>
      <c r="M2" s="154">
        <v>1.3</v>
      </c>
      <c r="N2" s="154">
        <v>-4.7</v>
      </c>
      <c r="O2" s="154">
        <v>15</v>
      </c>
      <c r="P2" s="154">
        <v>6.6</v>
      </c>
      <c r="Q2" s="154">
        <v>2.5</v>
      </c>
      <c r="R2" s="154">
        <v>-1.9</v>
      </c>
      <c r="S2" s="154">
        <v>4.0999999999999996</v>
      </c>
      <c r="T2" s="154">
        <v>1.9</v>
      </c>
      <c r="U2" s="154">
        <v>2.5</v>
      </c>
      <c r="V2" s="154">
        <v>13.1</v>
      </c>
      <c r="W2" s="154">
        <v>-2.5</v>
      </c>
      <c r="X2" s="154">
        <v>-9.5</v>
      </c>
      <c r="Y2" s="143" t="s">
        <v>744</v>
      </c>
      <c r="Z2" s="153"/>
      <c r="AA2" s="155">
        <v>15.3</v>
      </c>
      <c r="AB2" s="154">
        <v>8.5</v>
      </c>
      <c r="AC2" s="154">
        <v>0</v>
      </c>
      <c r="AD2" s="146">
        <v>-1.9</v>
      </c>
      <c r="AE2" s="154">
        <v>6.3</v>
      </c>
      <c r="AF2" s="154">
        <v>4.8</v>
      </c>
      <c r="AG2" s="156">
        <v>16.1784</v>
      </c>
      <c r="AH2" s="146">
        <v>7</v>
      </c>
      <c r="AI2" s="143" t="s">
        <v>745</v>
      </c>
      <c r="AJ2" s="149"/>
      <c r="AK2" s="157">
        <f t="shared" ref="AK2:AK29" si="0">SUM(K2:AF2)</f>
        <v>61.4</v>
      </c>
      <c r="AL2" s="151"/>
    </row>
    <row r="3" spans="1:38">
      <c r="A3" s="146">
        <v>102</v>
      </c>
      <c r="B3" s="144" t="s">
        <v>746</v>
      </c>
      <c r="C3" s="143" t="s">
        <v>6</v>
      </c>
      <c r="D3" s="143" t="s">
        <v>747</v>
      </c>
      <c r="E3" s="143" t="s">
        <v>748</v>
      </c>
      <c r="F3" s="143" t="s">
        <v>12</v>
      </c>
      <c r="G3" s="143" t="s">
        <v>10</v>
      </c>
      <c r="H3" s="143" t="s">
        <v>743</v>
      </c>
      <c r="I3" s="143" t="s">
        <v>11</v>
      </c>
      <c r="J3" s="145"/>
      <c r="K3" s="145"/>
      <c r="L3" s="153"/>
      <c r="M3" s="154">
        <v>-4.2</v>
      </c>
      <c r="N3" s="154">
        <v>-2.6</v>
      </c>
      <c r="O3" s="154">
        <v>12.1</v>
      </c>
      <c r="P3" s="154">
        <v>6.1</v>
      </c>
      <c r="Q3" s="154">
        <v>1.6</v>
      </c>
      <c r="R3" s="154">
        <v>-2.9</v>
      </c>
      <c r="S3" s="154">
        <v>3.2</v>
      </c>
      <c r="T3" s="154">
        <v>0.5</v>
      </c>
      <c r="U3" s="154">
        <v>1.5</v>
      </c>
      <c r="V3" s="154">
        <v>13.5</v>
      </c>
      <c r="W3" s="154">
        <v>-4.0999999999999996</v>
      </c>
      <c r="X3" s="154">
        <v>-10.7</v>
      </c>
      <c r="Y3" s="146">
        <v>7.9</v>
      </c>
      <c r="Z3" s="154">
        <v>5.6</v>
      </c>
      <c r="AA3" s="154">
        <v>-1.7</v>
      </c>
      <c r="AB3" s="154">
        <v>6</v>
      </c>
      <c r="AC3" s="154">
        <v>-1.1000000000000001</v>
      </c>
      <c r="AD3" s="146">
        <v>-3.3</v>
      </c>
      <c r="AE3" s="154">
        <v>5.7</v>
      </c>
      <c r="AF3" s="154">
        <v>4.5</v>
      </c>
      <c r="AG3" s="156">
        <v>18.047999999999998</v>
      </c>
      <c r="AH3" s="146">
        <v>7</v>
      </c>
      <c r="AI3" s="145"/>
      <c r="AJ3" s="149"/>
      <c r="AK3" s="157">
        <f t="shared" si="0"/>
        <v>37.6</v>
      </c>
      <c r="AL3" s="151"/>
    </row>
    <row r="4" spans="1:38">
      <c r="A4" s="146">
        <v>103</v>
      </c>
      <c r="B4" s="144" t="s">
        <v>749</v>
      </c>
      <c r="C4" s="143" t="s">
        <v>6</v>
      </c>
      <c r="D4" s="143" t="s">
        <v>13</v>
      </c>
      <c r="E4" s="143" t="s">
        <v>14</v>
      </c>
      <c r="F4" s="143" t="s">
        <v>9</v>
      </c>
      <c r="G4" s="143" t="s">
        <v>10</v>
      </c>
      <c r="H4" s="143" t="s">
        <v>743</v>
      </c>
      <c r="I4" s="143" t="s">
        <v>11</v>
      </c>
      <c r="J4" s="145"/>
      <c r="K4" s="145"/>
      <c r="L4" s="153"/>
      <c r="M4" s="154">
        <v>0</v>
      </c>
      <c r="N4" s="154">
        <v>4</v>
      </c>
      <c r="O4" s="154">
        <v>16.3</v>
      </c>
      <c r="P4" s="154">
        <v>8.1999999999999993</v>
      </c>
      <c r="Q4" s="154">
        <v>5.4</v>
      </c>
      <c r="R4" s="154">
        <v>1.6</v>
      </c>
      <c r="S4" s="154">
        <v>7.4</v>
      </c>
      <c r="T4" s="154">
        <v>5.5</v>
      </c>
      <c r="U4" s="154">
        <v>6.2</v>
      </c>
      <c r="V4" s="154">
        <v>17.5</v>
      </c>
      <c r="W4" s="154">
        <v>0.6</v>
      </c>
      <c r="X4" s="154">
        <v>-7.2</v>
      </c>
      <c r="Y4" s="145"/>
      <c r="Z4" s="145"/>
      <c r="AA4" s="145"/>
      <c r="AB4" s="145"/>
      <c r="AC4" s="145"/>
      <c r="AD4" s="145"/>
      <c r="AE4" s="154"/>
      <c r="AF4" s="154"/>
      <c r="AG4" s="156">
        <v>17.496500000000001</v>
      </c>
      <c r="AH4" s="146">
        <v>62</v>
      </c>
      <c r="AI4" s="145"/>
      <c r="AJ4" s="149"/>
      <c r="AK4" s="157">
        <f t="shared" si="0"/>
        <v>65.499999999999986</v>
      </c>
      <c r="AL4" s="151"/>
    </row>
    <row r="5" spans="1:38">
      <c r="A5" s="146">
        <v>104</v>
      </c>
      <c r="B5" s="144" t="s">
        <v>750</v>
      </c>
      <c r="C5" s="143" t="s">
        <v>6</v>
      </c>
      <c r="D5" s="143" t="s">
        <v>15</v>
      </c>
      <c r="E5" s="143" t="s">
        <v>16</v>
      </c>
      <c r="F5" s="143" t="s">
        <v>9</v>
      </c>
      <c r="G5" s="143" t="s">
        <v>10</v>
      </c>
      <c r="H5" s="143" t="s">
        <v>743</v>
      </c>
      <c r="I5" s="143" t="s">
        <v>11</v>
      </c>
      <c r="J5" s="145"/>
      <c r="K5" s="145"/>
      <c r="L5" s="153"/>
      <c r="M5" s="154">
        <v>-4.7</v>
      </c>
      <c r="N5" s="154">
        <v>0.9</v>
      </c>
      <c r="O5" s="154">
        <v>9.6</v>
      </c>
      <c r="P5" s="154">
        <v>4.0999999999999996</v>
      </c>
      <c r="Q5" s="154">
        <v>0.3</v>
      </c>
      <c r="R5" s="154">
        <v>-4.0999999999999996</v>
      </c>
      <c r="S5" s="154">
        <v>4</v>
      </c>
      <c r="T5" s="154">
        <v>1.9</v>
      </c>
      <c r="U5" s="154">
        <v>3.9</v>
      </c>
      <c r="V5" s="154">
        <v>16.2</v>
      </c>
      <c r="W5" s="154">
        <v>-2.5</v>
      </c>
      <c r="X5" s="154">
        <v>-10.1</v>
      </c>
      <c r="Y5" s="146">
        <v>4.5</v>
      </c>
      <c r="Z5" s="154">
        <v>4.5</v>
      </c>
      <c r="AA5" s="154">
        <v>-2.6</v>
      </c>
      <c r="AB5" s="154">
        <v>6.8</v>
      </c>
      <c r="AC5" s="154">
        <v>-2.1</v>
      </c>
      <c r="AD5" s="146">
        <v>-3.7</v>
      </c>
      <c r="AE5" s="154">
        <v>5.0999999999999996</v>
      </c>
      <c r="AF5" s="154">
        <v>5</v>
      </c>
      <c r="AG5" s="156">
        <v>15.954700000000001</v>
      </c>
      <c r="AH5" s="146">
        <v>7</v>
      </c>
      <c r="AI5" s="145"/>
      <c r="AJ5" s="149"/>
      <c r="AK5" s="157">
        <f t="shared" si="0"/>
        <v>36.999999999999993</v>
      </c>
      <c r="AL5" s="151"/>
    </row>
    <row r="6" spans="1:38">
      <c r="A6" s="146">
        <v>105</v>
      </c>
      <c r="B6" s="144" t="s">
        <v>751</v>
      </c>
      <c r="C6" s="143" t="s">
        <v>6</v>
      </c>
      <c r="D6" s="143" t="s">
        <v>17</v>
      </c>
      <c r="E6" s="143" t="s">
        <v>18</v>
      </c>
      <c r="F6" s="143" t="s">
        <v>12</v>
      </c>
      <c r="G6" s="143" t="s">
        <v>19</v>
      </c>
      <c r="H6" s="143" t="s">
        <v>743</v>
      </c>
      <c r="I6" s="143" t="s">
        <v>11</v>
      </c>
      <c r="J6" s="145"/>
      <c r="K6" s="154">
        <v>17.3</v>
      </c>
      <c r="L6" s="154">
        <v>-3.9</v>
      </c>
      <c r="M6" s="154">
        <v>-5.8</v>
      </c>
      <c r="N6" s="154">
        <v>1.3</v>
      </c>
      <c r="O6" s="154">
        <v>7.9</v>
      </c>
      <c r="P6" s="154">
        <v>2.9</v>
      </c>
      <c r="Q6" s="154">
        <v>-0.5</v>
      </c>
      <c r="R6" s="158" t="s">
        <v>20</v>
      </c>
      <c r="S6" s="153"/>
      <c r="T6" s="153"/>
      <c r="U6" s="153"/>
      <c r="V6" s="153"/>
      <c r="W6" s="159" t="s">
        <v>21</v>
      </c>
      <c r="X6" s="154">
        <v>-11.9</v>
      </c>
      <c r="Y6" s="145"/>
      <c r="Z6" s="153"/>
      <c r="AA6" s="159" t="s">
        <v>22</v>
      </c>
      <c r="AB6" s="154">
        <v>15.1</v>
      </c>
      <c r="AC6" s="154">
        <v>-4</v>
      </c>
      <c r="AD6" s="146">
        <v>-5.3</v>
      </c>
      <c r="AE6" s="154">
        <v>6.7</v>
      </c>
      <c r="AF6" s="154">
        <v>2.9</v>
      </c>
      <c r="AG6" s="156">
        <v>17.996400000000001</v>
      </c>
      <c r="AH6" s="146">
        <v>7</v>
      </c>
      <c r="AI6" s="143" t="s">
        <v>752</v>
      </c>
      <c r="AJ6" s="149"/>
      <c r="AK6" s="157">
        <f t="shared" si="0"/>
        <v>22.699999999999996</v>
      </c>
      <c r="AL6" s="151"/>
    </row>
    <row r="7" spans="1:38">
      <c r="A7" s="146">
        <v>106</v>
      </c>
      <c r="B7" s="144" t="s">
        <v>753</v>
      </c>
      <c r="C7" s="143" t="s">
        <v>6</v>
      </c>
      <c r="D7" s="143" t="s">
        <v>23</v>
      </c>
      <c r="E7" s="143" t="s">
        <v>24</v>
      </c>
      <c r="F7" s="143" t="s">
        <v>12</v>
      </c>
      <c r="G7" s="143" t="s">
        <v>19</v>
      </c>
      <c r="H7" s="143" t="s">
        <v>743</v>
      </c>
      <c r="I7" s="143" t="s">
        <v>11</v>
      </c>
      <c r="J7" s="145"/>
      <c r="K7" s="154">
        <v>16.7</v>
      </c>
      <c r="L7" s="154">
        <v>-4.7</v>
      </c>
      <c r="M7" s="154">
        <v>-5.7</v>
      </c>
      <c r="N7" s="158" t="s">
        <v>754</v>
      </c>
      <c r="O7" s="155">
        <v>9.8000000000000007</v>
      </c>
      <c r="P7" s="154">
        <v>3.5</v>
      </c>
      <c r="Q7" s="154">
        <v>-1.6</v>
      </c>
      <c r="R7" s="154">
        <v>-3.4</v>
      </c>
      <c r="S7" s="154">
        <v>4.5999999999999996</v>
      </c>
      <c r="T7" s="154">
        <v>0.8</v>
      </c>
      <c r="U7" s="154">
        <v>3.5</v>
      </c>
      <c r="V7" s="154">
        <v>13</v>
      </c>
      <c r="W7" s="154">
        <v>-1.2</v>
      </c>
      <c r="X7" s="154">
        <v>-12.7</v>
      </c>
      <c r="Y7" s="146">
        <v>5.0999999999999996</v>
      </c>
      <c r="Z7" s="154">
        <v>5.0999999999999996</v>
      </c>
      <c r="AA7" s="154">
        <v>-3.7</v>
      </c>
      <c r="AB7" s="154">
        <v>7</v>
      </c>
      <c r="AC7" s="154">
        <v>-3.4</v>
      </c>
      <c r="AD7" s="146">
        <v>-6.1</v>
      </c>
      <c r="AE7" s="154">
        <v>6.2</v>
      </c>
      <c r="AF7" s="154">
        <v>4.3</v>
      </c>
      <c r="AG7" s="156">
        <v>18.476400000000002</v>
      </c>
      <c r="AH7" s="146">
        <v>7</v>
      </c>
      <c r="AI7" s="145"/>
      <c r="AJ7" s="149"/>
      <c r="AK7" s="157">
        <f t="shared" si="0"/>
        <v>37.099999999999994</v>
      </c>
      <c r="AL7" s="151"/>
    </row>
    <row r="8" spans="1:38">
      <c r="A8" s="146">
        <v>107</v>
      </c>
      <c r="B8" s="144" t="s">
        <v>755</v>
      </c>
      <c r="C8" s="143" t="s">
        <v>6</v>
      </c>
      <c r="D8" s="143" t="s">
        <v>25</v>
      </c>
      <c r="E8" s="143" t="s">
        <v>26</v>
      </c>
      <c r="F8" s="143" t="s">
        <v>12</v>
      </c>
      <c r="G8" s="143" t="s">
        <v>19</v>
      </c>
      <c r="H8" s="143" t="s">
        <v>743</v>
      </c>
      <c r="I8" s="143" t="s">
        <v>11</v>
      </c>
      <c r="J8" s="145"/>
      <c r="K8" s="154">
        <v>12.4</v>
      </c>
      <c r="L8" s="154">
        <v>-2.9</v>
      </c>
      <c r="M8" s="154">
        <v>-3.7</v>
      </c>
      <c r="N8" s="158" t="s">
        <v>754</v>
      </c>
      <c r="O8" s="155">
        <v>8.6999999999999993</v>
      </c>
      <c r="P8" s="154">
        <v>-0.7</v>
      </c>
      <c r="Q8" s="154">
        <v>4</v>
      </c>
      <c r="R8" s="154">
        <v>-4.0999999999999996</v>
      </c>
      <c r="S8" s="154">
        <v>2.6</v>
      </c>
      <c r="T8" s="154">
        <v>0.7</v>
      </c>
      <c r="U8" s="154">
        <v>1.7</v>
      </c>
      <c r="V8" s="154">
        <v>9.5</v>
      </c>
      <c r="W8" s="154">
        <v>-1.4</v>
      </c>
      <c r="X8" s="158" t="s">
        <v>756</v>
      </c>
      <c r="Y8" s="153"/>
      <c r="Z8" s="153"/>
      <c r="AA8" s="155">
        <v>-3.1</v>
      </c>
      <c r="AB8" s="143" t="s">
        <v>744</v>
      </c>
      <c r="AC8" s="153"/>
      <c r="AD8" s="160">
        <v>2.7</v>
      </c>
      <c r="AE8" s="154"/>
      <c r="AF8" s="155"/>
      <c r="AG8" s="156">
        <v>19.1782</v>
      </c>
      <c r="AH8" s="146">
        <v>5</v>
      </c>
      <c r="AI8" s="145"/>
      <c r="AJ8" s="149"/>
      <c r="AK8" s="157">
        <f t="shared" si="0"/>
        <v>26.4</v>
      </c>
      <c r="AL8" s="151"/>
    </row>
    <row r="9" spans="1:38">
      <c r="A9" s="146">
        <v>108</v>
      </c>
      <c r="B9" s="144" t="s">
        <v>757</v>
      </c>
      <c r="C9" s="143" t="s">
        <v>6</v>
      </c>
      <c r="D9" s="143" t="s">
        <v>27</v>
      </c>
      <c r="E9" s="143" t="s">
        <v>28</v>
      </c>
      <c r="F9" s="143" t="s">
        <v>9</v>
      </c>
      <c r="G9" s="143" t="s">
        <v>10</v>
      </c>
      <c r="H9" s="143" t="s">
        <v>743</v>
      </c>
      <c r="I9" s="143" t="s">
        <v>11</v>
      </c>
      <c r="J9" s="145"/>
      <c r="K9" s="145"/>
      <c r="L9" s="153"/>
      <c r="M9" s="158" t="s">
        <v>744</v>
      </c>
      <c r="N9" s="153"/>
      <c r="O9" s="155">
        <v>6.1</v>
      </c>
      <c r="P9" s="154">
        <v>3.2</v>
      </c>
      <c r="Q9" s="154">
        <v>0.4</v>
      </c>
      <c r="R9" s="158" t="s">
        <v>754</v>
      </c>
      <c r="S9" s="155">
        <v>1.2</v>
      </c>
      <c r="T9" s="158" t="s">
        <v>756</v>
      </c>
      <c r="U9" s="153"/>
      <c r="V9" s="153"/>
      <c r="W9" s="155">
        <v>14.5</v>
      </c>
      <c r="X9" s="159" t="s">
        <v>756</v>
      </c>
      <c r="Y9" s="153"/>
      <c r="Z9" s="153"/>
      <c r="AA9" s="155">
        <v>7.6</v>
      </c>
      <c r="AB9" s="143" t="s">
        <v>744</v>
      </c>
      <c r="AC9" s="153"/>
      <c r="AD9" s="160">
        <v>-4.4000000000000004</v>
      </c>
      <c r="AE9" s="154"/>
      <c r="AF9" s="155"/>
      <c r="AG9" s="156">
        <v>25.2806</v>
      </c>
      <c r="AH9" s="146">
        <v>5</v>
      </c>
      <c r="AI9" s="145"/>
      <c r="AJ9" s="149"/>
      <c r="AK9" s="157">
        <f t="shared" si="0"/>
        <v>28.6</v>
      </c>
      <c r="AL9" s="151"/>
    </row>
    <row r="10" spans="1:38">
      <c r="A10" s="146">
        <v>109</v>
      </c>
      <c r="B10" s="144" t="s">
        <v>758</v>
      </c>
      <c r="C10" s="143" t="s">
        <v>6</v>
      </c>
      <c r="D10" s="143" t="s">
        <v>29</v>
      </c>
      <c r="E10" s="143" t="s">
        <v>30</v>
      </c>
      <c r="F10" s="143" t="s">
        <v>9</v>
      </c>
      <c r="G10" s="143" t="s">
        <v>31</v>
      </c>
      <c r="H10" s="143" t="s">
        <v>743</v>
      </c>
      <c r="I10" s="143" t="s">
        <v>11</v>
      </c>
      <c r="J10" s="145"/>
      <c r="K10" s="145"/>
      <c r="L10" s="153"/>
      <c r="M10" s="153"/>
      <c r="N10" s="153"/>
      <c r="O10" s="153"/>
      <c r="P10" s="154">
        <v>-0.1</v>
      </c>
      <c r="Q10" s="154">
        <v>-0.2</v>
      </c>
      <c r="R10" s="158" t="s">
        <v>754</v>
      </c>
      <c r="S10" s="155">
        <v>1.5</v>
      </c>
      <c r="T10" s="158" t="s">
        <v>759</v>
      </c>
      <c r="U10" s="153"/>
      <c r="V10" s="153"/>
      <c r="W10" s="153"/>
      <c r="X10" s="153"/>
      <c r="Y10" s="153"/>
      <c r="Z10" s="153"/>
      <c r="AA10" s="154">
        <v>14.8</v>
      </c>
      <c r="AB10" s="143" t="s">
        <v>744</v>
      </c>
      <c r="AC10" s="153"/>
      <c r="AD10" s="160">
        <v>-9.1</v>
      </c>
      <c r="AE10" s="154"/>
      <c r="AF10" s="155"/>
      <c r="AG10" s="156">
        <v>32.001800000000003</v>
      </c>
      <c r="AH10" s="146">
        <v>5</v>
      </c>
      <c r="AI10" s="145"/>
      <c r="AJ10" s="149"/>
      <c r="AK10" s="157">
        <f t="shared" si="0"/>
        <v>6.9</v>
      </c>
      <c r="AL10" s="151"/>
    </row>
    <row r="11" spans="1:38">
      <c r="A11" s="146">
        <v>110</v>
      </c>
      <c r="B11" s="144" t="s">
        <v>760</v>
      </c>
      <c r="C11" s="143" t="s">
        <v>6</v>
      </c>
      <c r="D11" s="143" t="s">
        <v>32</v>
      </c>
      <c r="E11" s="143" t="s">
        <v>33</v>
      </c>
      <c r="F11" s="143" t="s">
        <v>12</v>
      </c>
      <c r="G11" s="143" t="s">
        <v>19</v>
      </c>
      <c r="H11" s="143" t="s">
        <v>743</v>
      </c>
      <c r="I11" s="143" t="s">
        <v>11</v>
      </c>
      <c r="J11" s="145"/>
      <c r="K11" s="154">
        <v>26.1</v>
      </c>
      <c r="L11" s="154">
        <v>-4.2</v>
      </c>
      <c r="M11" s="154">
        <v>-6.6</v>
      </c>
      <c r="N11" s="158" t="s">
        <v>754</v>
      </c>
      <c r="O11" s="155">
        <v>15.7</v>
      </c>
      <c r="P11" s="154">
        <v>1</v>
      </c>
      <c r="Q11" s="154">
        <v>0.8</v>
      </c>
      <c r="R11" s="154">
        <v>-1</v>
      </c>
      <c r="S11" s="154">
        <v>1.9</v>
      </c>
      <c r="T11" s="154">
        <v>1.1000000000000001</v>
      </c>
      <c r="U11" s="154">
        <v>2.7</v>
      </c>
      <c r="V11" s="154">
        <v>11.3</v>
      </c>
      <c r="W11" s="154">
        <v>-0.4</v>
      </c>
      <c r="X11" s="158" t="s">
        <v>756</v>
      </c>
      <c r="Y11" s="153"/>
      <c r="Z11" s="153"/>
      <c r="AA11" s="155">
        <v>1.9</v>
      </c>
      <c r="AB11" s="143" t="s">
        <v>744</v>
      </c>
      <c r="AC11" s="153"/>
      <c r="AD11" s="160">
        <v>3.4</v>
      </c>
      <c r="AE11" s="154"/>
      <c r="AF11" s="155"/>
      <c r="AG11" s="156">
        <v>16.3628</v>
      </c>
      <c r="AH11" s="146">
        <v>5</v>
      </c>
      <c r="AI11" s="145"/>
      <c r="AJ11" s="149"/>
      <c r="AK11" s="157">
        <f t="shared" si="0"/>
        <v>53.699999999999996</v>
      </c>
      <c r="AL11" s="151"/>
    </row>
    <row r="12" spans="1:38">
      <c r="A12" s="146">
        <v>201</v>
      </c>
      <c r="B12" s="144" t="s">
        <v>761</v>
      </c>
      <c r="C12" s="143" t="s">
        <v>38</v>
      </c>
      <c r="D12" s="143" t="s">
        <v>39</v>
      </c>
      <c r="E12" s="143" t="s">
        <v>40</v>
      </c>
      <c r="F12" s="143" t="s">
        <v>9</v>
      </c>
      <c r="G12" s="143" t="s">
        <v>19</v>
      </c>
      <c r="H12" s="143" t="s">
        <v>743</v>
      </c>
      <c r="I12" s="143" t="s">
        <v>11</v>
      </c>
      <c r="J12" s="145"/>
      <c r="K12" s="154">
        <v>25.6</v>
      </c>
      <c r="L12" s="154">
        <v>1.3</v>
      </c>
      <c r="M12" s="154">
        <v>-3.9</v>
      </c>
      <c r="N12" s="154">
        <v>4.3</v>
      </c>
      <c r="O12" s="154">
        <v>11.6</v>
      </c>
      <c r="P12" s="154">
        <v>6.5</v>
      </c>
      <c r="Q12" s="154">
        <v>1.4</v>
      </c>
      <c r="R12" s="154">
        <v>-1.4</v>
      </c>
      <c r="S12" s="154">
        <v>5.7</v>
      </c>
      <c r="T12" s="154">
        <v>1.7</v>
      </c>
      <c r="U12" s="154">
        <v>3.5</v>
      </c>
      <c r="V12" s="154">
        <v>23</v>
      </c>
      <c r="W12" s="154">
        <v>3.3</v>
      </c>
      <c r="X12" s="154">
        <v>-8.6999999999999993</v>
      </c>
      <c r="Y12" s="146">
        <v>2.9</v>
      </c>
      <c r="Z12" s="154">
        <v>5.7</v>
      </c>
      <c r="AA12" s="154">
        <v>-3</v>
      </c>
      <c r="AB12" s="154">
        <v>9.1</v>
      </c>
      <c r="AC12" s="154">
        <v>-1.4</v>
      </c>
      <c r="AD12" s="146">
        <v>-3.6</v>
      </c>
      <c r="AE12" s="154">
        <v>6.2</v>
      </c>
      <c r="AF12" s="154">
        <v>4.8</v>
      </c>
      <c r="AG12" s="156">
        <v>15.525700000000001</v>
      </c>
      <c r="AH12" s="146">
        <v>7</v>
      </c>
      <c r="AI12" s="145"/>
      <c r="AJ12" s="149"/>
      <c r="AK12" s="157">
        <f t="shared" si="0"/>
        <v>94.600000000000009</v>
      </c>
      <c r="AL12" s="151"/>
    </row>
    <row r="13" spans="1:38">
      <c r="A13" s="146">
        <v>202</v>
      </c>
      <c r="B13" s="144" t="s">
        <v>762</v>
      </c>
      <c r="C13" s="143" t="s">
        <v>38</v>
      </c>
      <c r="D13" s="143" t="s">
        <v>41</v>
      </c>
      <c r="E13" s="143" t="s">
        <v>42</v>
      </c>
      <c r="F13" s="143" t="s">
        <v>9</v>
      </c>
      <c r="G13" s="143" t="s">
        <v>31</v>
      </c>
      <c r="H13" s="143" t="s">
        <v>743</v>
      </c>
      <c r="I13" s="143" t="s">
        <v>763</v>
      </c>
      <c r="J13" s="145"/>
      <c r="K13" s="145"/>
      <c r="L13" s="153"/>
      <c r="M13" s="153"/>
      <c r="N13" s="153"/>
      <c r="O13" s="153"/>
      <c r="P13" s="154">
        <v>29.5</v>
      </c>
      <c r="Q13" s="154">
        <v>13.2</v>
      </c>
      <c r="R13" s="154">
        <v>-23.8</v>
      </c>
      <c r="S13" s="154">
        <v>32.799999999999997</v>
      </c>
      <c r="T13" s="154">
        <v>2.4</v>
      </c>
      <c r="U13" s="154">
        <v>17.2</v>
      </c>
      <c r="V13" s="154">
        <v>36.799999999999997</v>
      </c>
      <c r="W13" s="154">
        <v>6.4</v>
      </c>
      <c r="X13" s="154">
        <v>4.7</v>
      </c>
      <c r="Y13" s="146">
        <v>-8.8000000000000007</v>
      </c>
      <c r="Z13" s="154">
        <v>9.1999999999999993</v>
      </c>
      <c r="AA13" s="154">
        <v>13.3</v>
      </c>
      <c r="AB13" s="154">
        <v>38.1</v>
      </c>
      <c r="AC13" s="154">
        <v>-9.9</v>
      </c>
      <c r="AD13" s="146">
        <v>-0.3</v>
      </c>
      <c r="AE13" s="154">
        <v>7.5</v>
      </c>
      <c r="AF13" s="154">
        <v>7</v>
      </c>
      <c r="AG13" s="156">
        <v>11.6868</v>
      </c>
      <c r="AH13" s="146">
        <v>7</v>
      </c>
      <c r="AI13" s="145"/>
      <c r="AJ13" s="149"/>
      <c r="AK13" s="157">
        <f t="shared" si="0"/>
        <v>175.29999999999998</v>
      </c>
      <c r="AL13" s="151"/>
    </row>
    <row r="14" spans="1:38">
      <c r="A14" s="146">
        <v>203</v>
      </c>
      <c r="B14" s="144" t="s">
        <v>764</v>
      </c>
      <c r="C14" s="143" t="s">
        <v>38</v>
      </c>
      <c r="D14" s="143" t="s">
        <v>43</v>
      </c>
      <c r="E14" s="143" t="s">
        <v>44</v>
      </c>
      <c r="F14" s="143" t="s">
        <v>9</v>
      </c>
      <c r="G14" s="143" t="s">
        <v>19</v>
      </c>
      <c r="H14" s="143" t="s">
        <v>743</v>
      </c>
      <c r="I14" s="143" t="s">
        <v>763</v>
      </c>
      <c r="J14" s="145"/>
      <c r="K14" s="154">
        <v>34.299999999999997</v>
      </c>
      <c r="L14" s="154">
        <v>3.6</v>
      </c>
      <c r="M14" s="154">
        <v>-5</v>
      </c>
      <c r="N14" s="154">
        <v>6.1</v>
      </c>
      <c r="O14" s="154">
        <v>8.4</v>
      </c>
      <c r="P14" s="154">
        <v>7.4</v>
      </c>
      <c r="Q14" s="154">
        <v>8.4</v>
      </c>
      <c r="R14" s="154">
        <v>-6.2</v>
      </c>
      <c r="S14" s="154">
        <v>4.0999999999999996</v>
      </c>
      <c r="T14" s="154">
        <v>2.5</v>
      </c>
      <c r="U14" s="154">
        <v>9</v>
      </c>
      <c r="V14" s="154">
        <v>26.4</v>
      </c>
      <c r="W14" s="154">
        <v>-0.3</v>
      </c>
      <c r="X14" s="154">
        <v>-9.5</v>
      </c>
      <c r="Y14" s="146">
        <v>0.5</v>
      </c>
      <c r="Z14" s="154">
        <v>4.0999999999999996</v>
      </c>
      <c r="AA14" s="154">
        <v>-2.1</v>
      </c>
      <c r="AB14" s="154">
        <v>10.199999999999999</v>
      </c>
      <c r="AC14" s="154">
        <v>-3.1</v>
      </c>
      <c r="AD14" s="146">
        <v>-2.5</v>
      </c>
      <c r="AE14" s="154">
        <v>4.5</v>
      </c>
      <c r="AF14" s="154">
        <v>5</v>
      </c>
      <c r="AG14" s="156">
        <v>11.6441</v>
      </c>
      <c r="AH14" s="146">
        <v>7</v>
      </c>
      <c r="AI14" s="145"/>
      <c r="AJ14" s="149"/>
      <c r="AK14" s="157">
        <f t="shared" si="0"/>
        <v>105.80000000000001</v>
      </c>
      <c r="AL14" s="151"/>
    </row>
    <row r="15" spans="1:38">
      <c r="A15" s="146">
        <v>204</v>
      </c>
      <c r="B15" s="144" t="s">
        <v>765</v>
      </c>
      <c r="C15" s="143" t="s">
        <v>38</v>
      </c>
      <c r="D15" s="143" t="s">
        <v>45</v>
      </c>
      <c r="E15" s="143" t="s">
        <v>46</v>
      </c>
      <c r="F15" s="143" t="s">
        <v>9</v>
      </c>
      <c r="G15" s="143" t="s">
        <v>19</v>
      </c>
      <c r="H15" s="143" t="s">
        <v>743</v>
      </c>
      <c r="I15" s="143" t="s">
        <v>763</v>
      </c>
      <c r="J15" s="145"/>
      <c r="K15" s="158" t="s">
        <v>754</v>
      </c>
      <c r="L15" s="155">
        <v>83.4</v>
      </c>
      <c r="M15" s="154">
        <v>16.3</v>
      </c>
      <c r="N15" s="154">
        <v>10.7</v>
      </c>
      <c r="O15" s="154">
        <v>14.5</v>
      </c>
      <c r="P15" s="154">
        <v>27.2</v>
      </c>
      <c r="Q15" s="154">
        <v>15.7</v>
      </c>
      <c r="R15" s="154">
        <v>-8.9</v>
      </c>
      <c r="S15" s="158" t="s">
        <v>47</v>
      </c>
      <c r="T15" s="158" t="s">
        <v>47</v>
      </c>
      <c r="U15" s="154">
        <v>20.8</v>
      </c>
      <c r="V15" s="154">
        <v>41.1</v>
      </c>
      <c r="W15" s="154">
        <v>8.5</v>
      </c>
      <c r="X15" s="154">
        <v>-5</v>
      </c>
      <c r="Y15" s="146">
        <v>-0.2</v>
      </c>
      <c r="Z15" s="154">
        <v>8.1999999999999993</v>
      </c>
      <c r="AA15" s="154">
        <v>10.9</v>
      </c>
      <c r="AB15" s="154">
        <v>22</v>
      </c>
      <c r="AC15" s="154">
        <v>-1.4</v>
      </c>
      <c r="AD15" s="146">
        <v>5.3</v>
      </c>
      <c r="AE15" s="154">
        <v>5.7</v>
      </c>
      <c r="AF15" s="154">
        <v>13.3</v>
      </c>
      <c r="AG15" s="156">
        <v>8.9280000000000008</v>
      </c>
      <c r="AH15" s="146">
        <v>7</v>
      </c>
      <c r="AI15" s="143" t="s">
        <v>766</v>
      </c>
      <c r="AJ15" s="149"/>
      <c r="AK15" s="157">
        <f t="shared" si="0"/>
        <v>288.10000000000002</v>
      </c>
      <c r="AL15" s="151"/>
    </row>
    <row r="16" spans="1:38">
      <c r="A16" s="146">
        <v>205</v>
      </c>
      <c r="B16" s="144" t="s">
        <v>767</v>
      </c>
      <c r="C16" s="143" t="s">
        <v>38</v>
      </c>
      <c r="D16" s="143" t="s">
        <v>48</v>
      </c>
      <c r="E16" s="143" t="s">
        <v>49</v>
      </c>
      <c r="F16" s="143" t="s">
        <v>9</v>
      </c>
      <c r="G16" s="143" t="s">
        <v>19</v>
      </c>
      <c r="H16" s="143" t="s">
        <v>743</v>
      </c>
      <c r="I16" s="143" t="s">
        <v>763</v>
      </c>
      <c r="J16" s="145"/>
      <c r="K16" s="158" t="s">
        <v>754</v>
      </c>
      <c r="L16" s="155">
        <v>49.3</v>
      </c>
      <c r="M16" s="154">
        <v>5.4</v>
      </c>
      <c r="N16" s="154">
        <v>6.1</v>
      </c>
      <c r="O16" s="154">
        <v>13.4</v>
      </c>
      <c r="P16" s="154">
        <v>6.5</v>
      </c>
      <c r="Q16" s="154">
        <v>6.5</v>
      </c>
      <c r="R16" s="154">
        <v>-4.4000000000000004</v>
      </c>
      <c r="S16" s="154">
        <v>2</v>
      </c>
      <c r="T16" s="154">
        <v>6.2</v>
      </c>
      <c r="U16" s="154">
        <v>9.3000000000000007</v>
      </c>
      <c r="V16" s="154">
        <v>13.9</v>
      </c>
      <c r="W16" s="154">
        <v>10</v>
      </c>
      <c r="X16" s="154">
        <v>-1.2</v>
      </c>
      <c r="Y16" s="146">
        <v>7.7</v>
      </c>
      <c r="Z16" s="154">
        <v>3.8</v>
      </c>
      <c r="AA16" s="154">
        <v>4</v>
      </c>
      <c r="AB16" s="154">
        <v>10</v>
      </c>
      <c r="AC16" s="154">
        <v>0.8</v>
      </c>
      <c r="AD16" s="146">
        <v>3.4</v>
      </c>
      <c r="AE16" s="154">
        <v>4.0999999999999996</v>
      </c>
      <c r="AF16" s="154">
        <v>5.6</v>
      </c>
      <c r="AG16" s="156">
        <v>9.7988999999999997</v>
      </c>
      <c r="AH16" s="146">
        <v>7</v>
      </c>
      <c r="AI16" s="145"/>
      <c r="AJ16" s="149"/>
      <c r="AK16" s="157">
        <f t="shared" si="0"/>
        <v>162.4</v>
      </c>
      <c r="AL16" s="151"/>
    </row>
    <row r="17" spans="1:38">
      <c r="A17" s="146">
        <v>206</v>
      </c>
      <c r="B17" s="144" t="s">
        <v>768</v>
      </c>
      <c r="C17" s="143" t="s">
        <v>38</v>
      </c>
      <c r="D17" s="143" t="s">
        <v>50</v>
      </c>
      <c r="E17" s="143" t="s">
        <v>51</v>
      </c>
      <c r="F17" s="143" t="s">
        <v>9</v>
      </c>
      <c r="G17" s="143" t="s">
        <v>19</v>
      </c>
      <c r="H17" s="143" t="s">
        <v>743</v>
      </c>
      <c r="I17" s="143" t="s">
        <v>763</v>
      </c>
      <c r="J17" s="145"/>
      <c r="K17" s="158" t="s">
        <v>754</v>
      </c>
      <c r="L17" s="155">
        <v>74</v>
      </c>
      <c r="M17" s="154">
        <v>9.9</v>
      </c>
      <c r="N17" s="154">
        <v>4.5999999999999996</v>
      </c>
      <c r="O17" s="154">
        <v>15.7</v>
      </c>
      <c r="P17" s="154">
        <v>21.9</v>
      </c>
      <c r="Q17" s="154">
        <v>22.6</v>
      </c>
      <c r="R17" s="154">
        <v>-10.5</v>
      </c>
      <c r="S17" s="154">
        <v>16.399999999999999</v>
      </c>
      <c r="T17" s="154">
        <v>6.1</v>
      </c>
      <c r="U17" s="154">
        <v>5.6</v>
      </c>
      <c r="V17" s="154">
        <v>24.1</v>
      </c>
      <c r="W17" s="154">
        <v>2.9</v>
      </c>
      <c r="X17" s="154">
        <v>-3.1</v>
      </c>
      <c r="Y17" s="146">
        <v>7</v>
      </c>
      <c r="Z17" s="154">
        <v>5.0999999999999996</v>
      </c>
      <c r="AA17" s="154">
        <v>1.6</v>
      </c>
      <c r="AB17" s="154">
        <v>4.7</v>
      </c>
      <c r="AC17" s="154">
        <v>0.6</v>
      </c>
      <c r="AD17" s="146">
        <v>0.3</v>
      </c>
      <c r="AE17" s="154">
        <v>1.8</v>
      </c>
      <c r="AF17" s="154">
        <v>3.9</v>
      </c>
      <c r="AG17" s="156">
        <v>8.8536000000000001</v>
      </c>
      <c r="AH17" s="146">
        <v>7</v>
      </c>
      <c r="AI17" s="145"/>
      <c r="AJ17" s="149"/>
      <c r="AK17" s="157">
        <f t="shared" si="0"/>
        <v>215.2</v>
      </c>
      <c r="AL17" s="151"/>
    </row>
    <row r="18" spans="1:38">
      <c r="A18" s="146">
        <v>207</v>
      </c>
      <c r="B18" s="144" t="s">
        <v>769</v>
      </c>
      <c r="C18" s="143" t="s">
        <v>38</v>
      </c>
      <c r="D18" s="143" t="s">
        <v>52</v>
      </c>
      <c r="E18" s="143" t="s">
        <v>53</v>
      </c>
      <c r="F18" s="143" t="s">
        <v>9</v>
      </c>
      <c r="G18" s="143" t="s">
        <v>19</v>
      </c>
      <c r="H18" s="143" t="s">
        <v>743</v>
      </c>
      <c r="I18" s="143" t="s">
        <v>54</v>
      </c>
      <c r="J18" s="145"/>
      <c r="K18" s="154">
        <v>46.1</v>
      </c>
      <c r="L18" s="154">
        <v>4.7</v>
      </c>
      <c r="M18" s="154">
        <v>38.4</v>
      </c>
      <c r="N18" s="154">
        <v>14.2</v>
      </c>
      <c r="O18" s="154">
        <v>20.5</v>
      </c>
      <c r="P18" s="154">
        <v>26.6</v>
      </c>
      <c r="Q18" s="154">
        <v>31.8</v>
      </c>
      <c r="R18" s="154">
        <v>-12.2</v>
      </c>
      <c r="S18" s="154">
        <v>33.9</v>
      </c>
      <c r="T18" s="154">
        <v>9.8000000000000007</v>
      </c>
      <c r="U18" s="154">
        <v>35.700000000000003</v>
      </c>
      <c r="V18" s="158" t="s">
        <v>770</v>
      </c>
      <c r="W18" s="154">
        <v>14.7</v>
      </c>
      <c r="X18" s="154">
        <v>7.9</v>
      </c>
      <c r="Y18" s="146">
        <v>3.5</v>
      </c>
      <c r="Z18" s="154">
        <v>15.4</v>
      </c>
      <c r="AA18" s="154">
        <v>-1.8</v>
      </c>
      <c r="AB18" s="154">
        <v>13.9</v>
      </c>
      <c r="AC18" s="154">
        <v>-2.2000000000000002</v>
      </c>
      <c r="AD18" s="146">
        <v>2.9</v>
      </c>
      <c r="AE18" s="154">
        <v>3.9</v>
      </c>
      <c r="AF18" s="154">
        <v>4.3</v>
      </c>
      <c r="AG18" s="156">
        <v>4.976</v>
      </c>
      <c r="AH18" s="146">
        <v>7</v>
      </c>
      <c r="AI18" s="143" t="s">
        <v>771</v>
      </c>
      <c r="AJ18" s="149"/>
      <c r="AK18" s="157">
        <f t="shared" si="0"/>
        <v>311.99999999999994</v>
      </c>
      <c r="AL18" s="151"/>
    </row>
    <row r="19" spans="1:38">
      <c r="A19" s="146">
        <v>208</v>
      </c>
      <c r="B19" s="144" t="s">
        <v>772</v>
      </c>
      <c r="C19" s="143" t="s">
        <v>38</v>
      </c>
      <c r="D19" s="143" t="s">
        <v>773</v>
      </c>
      <c r="E19" s="143" t="s">
        <v>774</v>
      </c>
      <c r="F19" s="143" t="s">
        <v>9</v>
      </c>
      <c r="G19" s="143" t="s">
        <v>10</v>
      </c>
      <c r="H19" s="143" t="s">
        <v>743</v>
      </c>
      <c r="I19" s="143" t="s">
        <v>54</v>
      </c>
      <c r="J19" s="145"/>
      <c r="K19" s="145"/>
      <c r="L19" s="153"/>
      <c r="M19" s="158" t="s">
        <v>744</v>
      </c>
      <c r="N19" s="153"/>
      <c r="O19" s="155">
        <v>59.2</v>
      </c>
      <c r="P19" s="154">
        <v>21.2</v>
      </c>
      <c r="Q19" s="154">
        <v>6.2</v>
      </c>
      <c r="R19" s="154">
        <v>-9.8000000000000007</v>
      </c>
      <c r="S19" s="154">
        <v>12.5</v>
      </c>
      <c r="T19" s="154">
        <v>11.3</v>
      </c>
      <c r="U19" s="154">
        <v>28.2</v>
      </c>
      <c r="V19" s="158" t="s">
        <v>775</v>
      </c>
      <c r="W19" s="153"/>
      <c r="X19" s="153"/>
      <c r="Y19" s="153"/>
      <c r="Z19" s="153"/>
      <c r="AA19" s="155">
        <v>58.7</v>
      </c>
      <c r="AB19" s="143" t="s">
        <v>770</v>
      </c>
      <c r="AC19" s="154">
        <v>-0.1</v>
      </c>
      <c r="AD19" s="146">
        <v>7.9</v>
      </c>
      <c r="AE19" s="154">
        <v>8.6999999999999993</v>
      </c>
      <c r="AF19" s="154"/>
      <c r="AG19" s="156">
        <v>2.8812000000000002</v>
      </c>
      <c r="AH19" s="146">
        <v>6</v>
      </c>
      <c r="AI19" s="143" t="s">
        <v>776</v>
      </c>
      <c r="AJ19" s="149"/>
      <c r="AK19" s="157">
        <f t="shared" si="0"/>
        <v>204</v>
      </c>
      <c r="AL19" s="151"/>
    </row>
    <row r="20" spans="1:38">
      <c r="A20" s="146">
        <v>209</v>
      </c>
      <c r="B20" s="144" t="s">
        <v>777</v>
      </c>
      <c r="C20" s="143" t="s">
        <v>38</v>
      </c>
      <c r="D20" s="143" t="s">
        <v>778</v>
      </c>
      <c r="E20" s="143" t="s">
        <v>55</v>
      </c>
      <c r="F20" s="143" t="s">
        <v>9</v>
      </c>
      <c r="G20" s="143" t="s">
        <v>10</v>
      </c>
      <c r="H20" s="143" t="s">
        <v>743</v>
      </c>
      <c r="I20" s="143" t="s">
        <v>54</v>
      </c>
      <c r="J20" s="145"/>
      <c r="K20" s="145"/>
      <c r="L20" s="153"/>
      <c r="M20" s="154">
        <v>17.7</v>
      </c>
      <c r="N20" s="154">
        <v>12.7</v>
      </c>
      <c r="O20" s="154">
        <v>5.7</v>
      </c>
      <c r="P20" s="154">
        <v>30.8</v>
      </c>
      <c r="Q20" s="154">
        <v>15.1</v>
      </c>
      <c r="R20" s="154">
        <v>-20.2</v>
      </c>
      <c r="S20" s="154">
        <v>12.3</v>
      </c>
      <c r="T20" s="154">
        <v>2.6</v>
      </c>
      <c r="U20" s="154">
        <v>35</v>
      </c>
      <c r="V20" s="158" t="s">
        <v>775</v>
      </c>
      <c r="W20" s="153"/>
      <c r="X20" s="153"/>
      <c r="Y20" s="153"/>
      <c r="Z20" s="153"/>
      <c r="AA20" s="155">
        <v>35.799999999999997</v>
      </c>
      <c r="AB20" s="143" t="s">
        <v>770</v>
      </c>
      <c r="AC20" s="154">
        <v>5.4</v>
      </c>
      <c r="AD20" s="146">
        <v>-2.7</v>
      </c>
      <c r="AE20" s="154">
        <v>4.9000000000000004</v>
      </c>
      <c r="AF20" s="154"/>
      <c r="AG20" s="156">
        <v>3.3515999999999999</v>
      </c>
      <c r="AH20" s="146">
        <v>6</v>
      </c>
      <c r="AI20" s="143" t="s">
        <v>776</v>
      </c>
      <c r="AJ20" s="149"/>
      <c r="AK20" s="157">
        <f t="shared" si="0"/>
        <v>155.10000000000002</v>
      </c>
      <c r="AL20" s="151"/>
    </row>
    <row r="21" spans="1:38">
      <c r="A21" s="146">
        <v>210</v>
      </c>
      <c r="B21" s="144" t="s">
        <v>779</v>
      </c>
      <c r="C21" s="143" t="s">
        <v>38</v>
      </c>
      <c r="D21" s="143" t="s">
        <v>56</v>
      </c>
      <c r="E21" s="143" t="s">
        <v>57</v>
      </c>
      <c r="F21" s="143" t="s">
        <v>9</v>
      </c>
      <c r="G21" s="143" t="s">
        <v>19</v>
      </c>
      <c r="H21" s="143" t="s">
        <v>743</v>
      </c>
      <c r="I21" s="143" t="s">
        <v>763</v>
      </c>
      <c r="J21" s="145"/>
      <c r="K21" s="158" t="s">
        <v>754</v>
      </c>
      <c r="L21" s="155">
        <v>38.799999999999997</v>
      </c>
      <c r="M21" s="154">
        <v>7.1</v>
      </c>
      <c r="N21" s="154">
        <v>4.9000000000000004</v>
      </c>
      <c r="O21" s="154">
        <v>10.4</v>
      </c>
      <c r="P21" s="154">
        <v>4.8</v>
      </c>
      <c r="Q21" s="154">
        <v>4.5</v>
      </c>
      <c r="R21" s="154">
        <v>-10.1</v>
      </c>
      <c r="S21" s="154">
        <v>7.3</v>
      </c>
      <c r="T21" s="158" t="s">
        <v>47</v>
      </c>
      <c r="U21" s="154">
        <v>21.1</v>
      </c>
      <c r="V21" s="154">
        <v>17.399999999999999</v>
      </c>
      <c r="W21" s="154">
        <v>9.1999999999999993</v>
      </c>
      <c r="X21" s="154">
        <v>3</v>
      </c>
      <c r="Y21" s="146">
        <v>6.6</v>
      </c>
      <c r="Z21" s="154">
        <v>10.6</v>
      </c>
      <c r="AA21" s="154">
        <v>-2.2000000000000002</v>
      </c>
      <c r="AB21" s="154">
        <v>9.6999999999999993</v>
      </c>
      <c r="AC21" s="154">
        <v>-0.3</v>
      </c>
      <c r="AD21" s="146">
        <v>0.2</v>
      </c>
      <c r="AE21" s="154">
        <v>4.3</v>
      </c>
      <c r="AF21" s="154">
        <v>2.2999999999999998</v>
      </c>
      <c r="AG21" s="156">
        <v>6.8013000000000003</v>
      </c>
      <c r="AH21" s="146">
        <v>7</v>
      </c>
      <c r="AI21" s="143" t="s">
        <v>780</v>
      </c>
      <c r="AJ21" s="149"/>
      <c r="AK21" s="157">
        <f t="shared" si="0"/>
        <v>149.60000000000002</v>
      </c>
      <c r="AL21" s="151"/>
    </row>
    <row r="22" spans="1:38">
      <c r="A22" s="146">
        <v>211</v>
      </c>
      <c r="B22" s="144" t="s">
        <v>781</v>
      </c>
      <c r="C22" s="143" t="s">
        <v>38</v>
      </c>
      <c r="D22" s="143" t="s">
        <v>58</v>
      </c>
      <c r="E22" s="143" t="s">
        <v>59</v>
      </c>
      <c r="F22" s="143" t="s">
        <v>9</v>
      </c>
      <c r="G22" s="143" t="s">
        <v>19</v>
      </c>
      <c r="H22" s="143" t="s">
        <v>743</v>
      </c>
      <c r="I22" s="143" t="s">
        <v>763</v>
      </c>
      <c r="J22" s="145"/>
      <c r="K22" s="158" t="s">
        <v>754</v>
      </c>
      <c r="L22" s="155">
        <v>79.599999999999994</v>
      </c>
      <c r="M22" s="154">
        <v>30.4</v>
      </c>
      <c r="N22" s="154">
        <v>18.5</v>
      </c>
      <c r="O22" s="154">
        <v>15.4</v>
      </c>
      <c r="P22" s="154">
        <v>17.100000000000001</v>
      </c>
      <c r="Q22" s="154">
        <v>9.8000000000000007</v>
      </c>
      <c r="R22" s="154">
        <v>-4.7</v>
      </c>
      <c r="S22" s="154">
        <v>6.3</v>
      </c>
      <c r="T22" s="154">
        <v>7.5</v>
      </c>
      <c r="U22" s="154">
        <v>10.1</v>
      </c>
      <c r="V22" s="154">
        <v>9.6999999999999993</v>
      </c>
      <c r="W22" s="154">
        <v>4.7</v>
      </c>
      <c r="X22" s="154">
        <v>-0.7</v>
      </c>
      <c r="Y22" s="146">
        <v>2.5</v>
      </c>
      <c r="Z22" s="154">
        <v>10</v>
      </c>
      <c r="AA22" s="154">
        <v>-2.1</v>
      </c>
      <c r="AB22" s="154">
        <v>8</v>
      </c>
      <c r="AC22" s="154">
        <v>-1.1000000000000001</v>
      </c>
      <c r="AD22" s="146">
        <v>-0.7</v>
      </c>
      <c r="AE22" s="154">
        <v>3.7</v>
      </c>
      <c r="AF22" s="154">
        <v>1.3</v>
      </c>
      <c r="AG22" s="156">
        <v>5.7464000000000004</v>
      </c>
      <c r="AH22" s="146">
        <v>7</v>
      </c>
      <c r="AI22" s="145"/>
      <c r="AJ22" s="149"/>
      <c r="AK22" s="157">
        <f t="shared" si="0"/>
        <v>225.30000000000004</v>
      </c>
      <c r="AL22" s="151"/>
    </row>
    <row r="23" spans="1:38">
      <c r="A23" s="146">
        <v>212</v>
      </c>
      <c r="B23" s="144" t="s">
        <v>782</v>
      </c>
      <c r="C23" s="143" t="s">
        <v>38</v>
      </c>
      <c r="D23" s="143" t="s">
        <v>60</v>
      </c>
      <c r="E23" s="143" t="s">
        <v>61</v>
      </c>
      <c r="F23" s="143" t="s">
        <v>9</v>
      </c>
      <c r="G23" s="143" t="s">
        <v>19</v>
      </c>
      <c r="H23" s="143" t="s">
        <v>743</v>
      </c>
      <c r="I23" s="143" t="s">
        <v>763</v>
      </c>
      <c r="J23" s="145"/>
      <c r="K23" s="154">
        <v>21.7</v>
      </c>
      <c r="L23" s="154">
        <v>28.3</v>
      </c>
      <c r="M23" s="154">
        <v>11.7</v>
      </c>
      <c r="N23" s="154">
        <v>6.5</v>
      </c>
      <c r="O23" s="154">
        <v>12.8</v>
      </c>
      <c r="P23" s="154">
        <v>9.6999999999999993</v>
      </c>
      <c r="Q23" s="154">
        <v>7.7</v>
      </c>
      <c r="R23" s="154">
        <v>-5.6</v>
      </c>
      <c r="S23" s="154">
        <v>6.4</v>
      </c>
      <c r="T23" s="154">
        <v>7.7</v>
      </c>
      <c r="U23" s="154">
        <v>16.7</v>
      </c>
      <c r="V23" s="154">
        <v>6.2</v>
      </c>
      <c r="W23" s="154">
        <v>4.5999999999999996</v>
      </c>
      <c r="X23" s="154">
        <v>1.1000000000000001</v>
      </c>
      <c r="Y23" s="146">
        <v>6.3</v>
      </c>
      <c r="Z23" s="154">
        <v>15</v>
      </c>
      <c r="AA23" s="154">
        <v>0.6</v>
      </c>
      <c r="AB23" s="154">
        <v>11.2</v>
      </c>
      <c r="AC23" s="154">
        <v>0.2</v>
      </c>
      <c r="AD23" s="146">
        <v>0.9</v>
      </c>
      <c r="AE23" s="154">
        <v>6.7</v>
      </c>
      <c r="AF23" s="154">
        <v>5.4</v>
      </c>
      <c r="AG23" s="156">
        <v>5.5967000000000002</v>
      </c>
      <c r="AH23" s="146">
        <v>7</v>
      </c>
      <c r="AI23" s="145"/>
      <c r="AJ23" s="149"/>
      <c r="AK23" s="157">
        <f t="shared" si="0"/>
        <v>181.79999999999998</v>
      </c>
      <c r="AL23" s="151"/>
    </row>
    <row r="24" spans="1:38">
      <c r="A24" s="146">
        <v>213</v>
      </c>
      <c r="B24" s="144" t="s">
        <v>783</v>
      </c>
      <c r="C24" s="143" t="s">
        <v>38</v>
      </c>
      <c r="D24" s="143" t="s">
        <v>62</v>
      </c>
      <c r="E24" s="143" t="s">
        <v>63</v>
      </c>
      <c r="F24" s="143" t="s">
        <v>9</v>
      </c>
      <c r="G24" s="143" t="s">
        <v>19</v>
      </c>
      <c r="H24" s="143" t="s">
        <v>743</v>
      </c>
      <c r="I24" s="143" t="s">
        <v>763</v>
      </c>
      <c r="J24" s="145"/>
      <c r="K24" s="154">
        <v>13.6</v>
      </c>
      <c r="L24" s="154">
        <v>59.1</v>
      </c>
      <c r="M24" s="154">
        <v>0.2</v>
      </c>
      <c r="N24" s="154">
        <v>2.7</v>
      </c>
      <c r="O24" s="154">
        <v>16.899999999999999</v>
      </c>
      <c r="P24" s="154">
        <v>7.4</v>
      </c>
      <c r="Q24" s="154">
        <v>8.6999999999999993</v>
      </c>
      <c r="R24" s="154">
        <v>8.9</v>
      </c>
      <c r="S24" s="154">
        <v>15.1</v>
      </c>
      <c r="T24" s="154">
        <v>8</v>
      </c>
      <c r="U24" s="154">
        <v>21</v>
      </c>
      <c r="V24" s="154">
        <v>10.3</v>
      </c>
      <c r="W24" s="154">
        <v>1.9</v>
      </c>
      <c r="X24" s="158" t="s">
        <v>756</v>
      </c>
      <c r="Y24" s="153"/>
      <c r="Z24" s="153"/>
      <c r="AA24" s="155">
        <v>8.3000000000000007</v>
      </c>
      <c r="AB24" s="146">
        <v>9.1</v>
      </c>
      <c r="AC24" s="154">
        <v>-2.8</v>
      </c>
      <c r="AD24" s="146">
        <v>0.7</v>
      </c>
      <c r="AE24" s="154">
        <v>3.6</v>
      </c>
      <c r="AF24" s="154"/>
      <c r="AG24" s="156">
        <v>5.0194999999999999</v>
      </c>
      <c r="AH24" s="146">
        <v>6</v>
      </c>
      <c r="AI24" s="145"/>
      <c r="AJ24" s="149"/>
      <c r="AK24" s="157">
        <f t="shared" si="0"/>
        <v>192.70000000000002</v>
      </c>
      <c r="AL24" s="151"/>
    </row>
    <row r="25" spans="1:38">
      <c r="A25" s="146">
        <v>214</v>
      </c>
      <c r="B25" s="144" t="s">
        <v>784</v>
      </c>
      <c r="C25" s="143" t="s">
        <v>38</v>
      </c>
      <c r="D25" s="143" t="s">
        <v>785</v>
      </c>
      <c r="E25" s="143" t="s">
        <v>786</v>
      </c>
      <c r="F25" s="143" t="s">
        <v>9</v>
      </c>
      <c r="G25" s="143" t="s">
        <v>10</v>
      </c>
      <c r="H25" s="143" t="s">
        <v>64</v>
      </c>
      <c r="I25" s="143" t="s">
        <v>763</v>
      </c>
      <c r="J25" s="145"/>
      <c r="K25" s="145"/>
      <c r="L25" s="145"/>
      <c r="M25" s="154">
        <v>5.3</v>
      </c>
      <c r="N25" s="158" t="s">
        <v>754</v>
      </c>
      <c r="O25" s="155">
        <v>13.9</v>
      </c>
      <c r="P25" s="154">
        <v>3.6</v>
      </c>
      <c r="Q25" s="154">
        <v>1.3</v>
      </c>
      <c r="R25" s="154">
        <v>-5.8</v>
      </c>
      <c r="S25" s="154">
        <v>6.3</v>
      </c>
      <c r="T25" s="158" t="s">
        <v>754</v>
      </c>
      <c r="U25" s="155">
        <v>11.1</v>
      </c>
      <c r="V25" s="145"/>
      <c r="W25" s="153"/>
      <c r="X25" s="153"/>
      <c r="Y25" s="153"/>
      <c r="Z25" s="153"/>
      <c r="AA25" s="153"/>
      <c r="AB25" s="153"/>
      <c r="AC25" s="153"/>
      <c r="AD25" s="153"/>
      <c r="AE25" s="155"/>
      <c r="AF25" s="155"/>
      <c r="AG25" s="156">
        <v>3.8134000000000001</v>
      </c>
      <c r="AH25" s="146">
        <v>59</v>
      </c>
      <c r="AI25" s="145"/>
      <c r="AJ25" s="149"/>
      <c r="AK25" s="157">
        <f t="shared" si="0"/>
        <v>35.700000000000003</v>
      </c>
      <c r="AL25" s="151"/>
    </row>
    <row r="26" spans="1:38">
      <c r="A26" s="146">
        <v>215</v>
      </c>
      <c r="B26" s="144" t="s">
        <v>787</v>
      </c>
      <c r="C26" s="143" t="s">
        <v>38</v>
      </c>
      <c r="D26" s="143" t="s">
        <v>65</v>
      </c>
      <c r="E26" s="143" t="s">
        <v>66</v>
      </c>
      <c r="F26" s="143" t="s">
        <v>9</v>
      </c>
      <c r="G26" s="143" t="s">
        <v>19</v>
      </c>
      <c r="H26" s="143" t="s">
        <v>743</v>
      </c>
      <c r="I26" s="143" t="s">
        <v>54</v>
      </c>
      <c r="J26" s="145"/>
      <c r="K26" s="154">
        <v>45.3</v>
      </c>
      <c r="L26" s="154">
        <v>33.4</v>
      </c>
      <c r="M26" s="154">
        <v>30.2</v>
      </c>
      <c r="N26" s="158" t="s">
        <v>754</v>
      </c>
      <c r="O26" s="155">
        <v>46.1</v>
      </c>
      <c r="P26" s="154">
        <v>19.8</v>
      </c>
      <c r="Q26" s="154">
        <v>18.8</v>
      </c>
      <c r="R26" s="154">
        <v>-2.2000000000000002</v>
      </c>
      <c r="S26" s="154">
        <v>12.5</v>
      </c>
      <c r="T26" s="154">
        <v>4</v>
      </c>
      <c r="U26" s="154">
        <v>16</v>
      </c>
      <c r="V26" s="154">
        <v>19.100000000000001</v>
      </c>
      <c r="W26" s="154">
        <v>9.1999999999999993</v>
      </c>
      <c r="X26" s="158" t="s">
        <v>756</v>
      </c>
      <c r="Y26" s="153"/>
      <c r="Z26" s="153"/>
      <c r="AA26" s="155">
        <v>11.5</v>
      </c>
      <c r="AB26" s="161" t="s">
        <v>744</v>
      </c>
      <c r="AC26" s="153"/>
      <c r="AD26" s="160">
        <v>15.5</v>
      </c>
      <c r="AE26" s="154"/>
      <c r="AF26" s="155"/>
      <c r="AG26" s="156">
        <v>3.5331000000000001</v>
      </c>
      <c r="AH26" s="146">
        <v>5</v>
      </c>
      <c r="AI26" s="145"/>
      <c r="AJ26" s="149"/>
      <c r="AK26" s="157">
        <f t="shared" si="0"/>
        <v>279.20000000000005</v>
      </c>
      <c r="AL26" s="151"/>
    </row>
    <row r="27" spans="1:38">
      <c r="A27" s="146">
        <v>216</v>
      </c>
      <c r="B27" s="144" t="s">
        <v>788</v>
      </c>
      <c r="C27" s="143" t="s">
        <v>38</v>
      </c>
      <c r="D27" s="143" t="s">
        <v>67</v>
      </c>
      <c r="E27" s="143" t="s">
        <v>68</v>
      </c>
      <c r="F27" s="143" t="s">
        <v>9</v>
      </c>
      <c r="G27" s="143" t="s">
        <v>19</v>
      </c>
      <c r="H27" s="143" t="s">
        <v>743</v>
      </c>
      <c r="I27" s="143" t="s">
        <v>763</v>
      </c>
      <c r="J27" s="145"/>
      <c r="K27" s="154">
        <v>13.9</v>
      </c>
      <c r="L27" s="154">
        <v>0.6</v>
      </c>
      <c r="M27" s="154">
        <v>2.1</v>
      </c>
      <c r="N27" s="154">
        <v>3.9</v>
      </c>
      <c r="O27" s="154">
        <v>8.6999999999999993</v>
      </c>
      <c r="P27" s="154">
        <v>3.4</v>
      </c>
      <c r="Q27" s="154">
        <v>3.6</v>
      </c>
      <c r="R27" s="154">
        <v>-7.5</v>
      </c>
      <c r="S27" s="154">
        <v>4.7</v>
      </c>
      <c r="T27" s="154">
        <v>1.9</v>
      </c>
      <c r="U27" s="154">
        <v>8.4</v>
      </c>
      <c r="V27" s="154">
        <v>3.3</v>
      </c>
      <c r="W27" s="154">
        <v>1.4</v>
      </c>
      <c r="X27" s="158" t="s">
        <v>756</v>
      </c>
      <c r="Y27" s="153"/>
      <c r="Z27" s="153"/>
      <c r="AA27" s="155">
        <v>18.600000000000001</v>
      </c>
      <c r="AB27" s="154">
        <v>10</v>
      </c>
      <c r="AC27" s="154">
        <v>-0.4</v>
      </c>
      <c r="AD27" s="146">
        <v>0.7</v>
      </c>
      <c r="AE27" s="154">
        <v>8.5</v>
      </c>
      <c r="AF27" s="154"/>
      <c r="AG27" s="156">
        <v>3.6755</v>
      </c>
      <c r="AH27" s="146">
        <v>6</v>
      </c>
      <c r="AI27" s="143" t="s">
        <v>789</v>
      </c>
      <c r="AJ27" s="149"/>
      <c r="AK27" s="157">
        <f t="shared" si="0"/>
        <v>85.8</v>
      </c>
      <c r="AL27" s="151"/>
    </row>
    <row r="28" spans="1:38">
      <c r="A28" s="146">
        <v>217</v>
      </c>
      <c r="B28" s="144" t="s">
        <v>790</v>
      </c>
      <c r="C28" s="143" t="s">
        <v>38</v>
      </c>
      <c r="D28" s="143" t="s">
        <v>791</v>
      </c>
      <c r="E28" s="143" t="s">
        <v>792</v>
      </c>
      <c r="F28" s="143" t="s">
        <v>9</v>
      </c>
      <c r="G28" s="143" t="s">
        <v>10</v>
      </c>
      <c r="H28" s="143" t="s">
        <v>64</v>
      </c>
      <c r="I28" s="143" t="s">
        <v>54</v>
      </c>
      <c r="J28" s="145"/>
      <c r="K28" s="145"/>
      <c r="L28" s="153"/>
      <c r="M28" s="154">
        <v>3.4</v>
      </c>
      <c r="N28" s="158" t="s">
        <v>754</v>
      </c>
      <c r="O28" s="155">
        <v>14.7</v>
      </c>
      <c r="P28" s="154">
        <v>5.4</v>
      </c>
      <c r="Q28" s="154">
        <v>2.8</v>
      </c>
      <c r="R28" s="154">
        <v>-6.3</v>
      </c>
      <c r="S28" s="154">
        <v>5.0999999999999996</v>
      </c>
      <c r="T28" s="158" t="s">
        <v>754</v>
      </c>
      <c r="U28" s="155">
        <v>7.8</v>
      </c>
      <c r="V28" s="145"/>
      <c r="W28" s="153"/>
      <c r="X28" s="153"/>
      <c r="Y28" s="153"/>
      <c r="Z28" s="153"/>
      <c r="AA28" s="153"/>
      <c r="AB28" s="153"/>
      <c r="AC28" s="153"/>
      <c r="AD28" s="153"/>
      <c r="AE28" s="155"/>
      <c r="AF28" s="155"/>
      <c r="AG28" s="156">
        <v>2.4813000000000001</v>
      </c>
      <c r="AH28" s="146">
        <v>59</v>
      </c>
      <c r="AI28" s="145"/>
      <c r="AJ28" s="149"/>
      <c r="AK28" s="157">
        <f t="shared" si="0"/>
        <v>32.9</v>
      </c>
      <c r="AL28" s="151"/>
    </row>
    <row r="29" spans="1:38">
      <c r="A29" s="146">
        <v>218</v>
      </c>
      <c r="B29" s="144" t="s">
        <v>793</v>
      </c>
      <c r="C29" s="143" t="s">
        <v>38</v>
      </c>
      <c r="D29" s="143" t="s">
        <v>794</v>
      </c>
      <c r="E29" s="143" t="s">
        <v>69</v>
      </c>
      <c r="F29" s="143" t="s">
        <v>70</v>
      </c>
      <c r="G29" s="143" t="s">
        <v>19</v>
      </c>
      <c r="H29" s="143" t="s">
        <v>64</v>
      </c>
      <c r="I29" s="143" t="s">
        <v>763</v>
      </c>
      <c r="J29" s="145"/>
      <c r="K29" s="158" t="s">
        <v>754</v>
      </c>
      <c r="L29" s="155">
        <v>25.9</v>
      </c>
      <c r="M29" s="154">
        <v>4.9000000000000004</v>
      </c>
      <c r="N29" s="158" t="s">
        <v>754</v>
      </c>
      <c r="O29" s="155">
        <v>21.9</v>
      </c>
      <c r="P29" s="154">
        <v>4.8</v>
      </c>
      <c r="Q29" s="154">
        <v>8.6999999999999993</v>
      </c>
      <c r="R29" s="154">
        <v>-2.1</v>
      </c>
      <c r="S29" s="154">
        <v>13.3</v>
      </c>
      <c r="T29" s="154">
        <v>7</v>
      </c>
      <c r="U29" s="154">
        <v>11.3</v>
      </c>
      <c r="V29" s="158" t="s">
        <v>775</v>
      </c>
      <c r="W29" s="153"/>
      <c r="X29" s="153"/>
      <c r="Y29" s="153"/>
      <c r="Z29" s="153"/>
      <c r="AA29" s="155">
        <v>23.8</v>
      </c>
      <c r="AB29" s="146">
        <v>9.6999999999999993</v>
      </c>
      <c r="AC29" s="154">
        <v>-0.3</v>
      </c>
      <c r="AD29" s="154">
        <v>2</v>
      </c>
      <c r="AE29" s="154"/>
      <c r="AF29" s="155"/>
      <c r="AG29" s="156">
        <v>2.9398</v>
      </c>
      <c r="AH29" s="146">
        <v>5</v>
      </c>
      <c r="AI29" s="145"/>
      <c r="AJ29" s="149"/>
      <c r="AK29" s="157">
        <f t="shared" si="0"/>
        <v>130.89999999999998</v>
      </c>
      <c r="AL29" s="151"/>
    </row>
    <row r="30" spans="1:38">
      <c r="A30" s="146">
        <v>219</v>
      </c>
      <c r="B30" s="144" t="s">
        <v>795</v>
      </c>
      <c r="C30" s="143" t="s">
        <v>38</v>
      </c>
      <c r="D30" s="143" t="s">
        <v>71</v>
      </c>
      <c r="E30" s="143" t="s">
        <v>72</v>
      </c>
      <c r="F30" s="143" t="s">
        <v>12</v>
      </c>
      <c r="G30" s="143" t="s">
        <v>73</v>
      </c>
      <c r="H30" s="143" t="s">
        <v>743</v>
      </c>
      <c r="I30" s="143" t="s">
        <v>763</v>
      </c>
      <c r="J30" s="145"/>
      <c r="K30" s="145"/>
      <c r="L30" s="153"/>
      <c r="M30" s="145"/>
      <c r="N30" s="158" t="s">
        <v>754</v>
      </c>
      <c r="O30" s="155">
        <v>23.6</v>
      </c>
      <c r="P30" s="158" t="s">
        <v>770</v>
      </c>
      <c r="Q30" s="158" t="s">
        <v>770</v>
      </c>
      <c r="R30" s="154">
        <v>-2.7</v>
      </c>
      <c r="S30" s="154">
        <v>8.6</v>
      </c>
      <c r="T30" s="154">
        <v>2.9</v>
      </c>
      <c r="U30" s="154">
        <v>18.5</v>
      </c>
      <c r="V30" s="154">
        <v>16.600000000000001</v>
      </c>
      <c r="W30" s="154">
        <v>17.600000000000001</v>
      </c>
      <c r="X30" s="154">
        <v>2.9</v>
      </c>
      <c r="Y30" s="146">
        <v>-2.1</v>
      </c>
      <c r="Z30" s="154">
        <v>8.1</v>
      </c>
      <c r="AA30" s="154">
        <v>-3.3</v>
      </c>
      <c r="AB30" s="154">
        <v>10.9</v>
      </c>
      <c r="AC30" s="154">
        <v>-1.8</v>
      </c>
      <c r="AD30" s="146">
        <v>-3.4</v>
      </c>
      <c r="AE30" s="154">
        <v>8</v>
      </c>
      <c r="AF30" s="154">
        <v>2.2999999999999998</v>
      </c>
      <c r="AG30" s="156">
        <v>7.3933</v>
      </c>
      <c r="AH30" s="146">
        <v>7</v>
      </c>
      <c r="AI30" s="143" t="s">
        <v>796</v>
      </c>
      <c r="AJ30" s="149"/>
      <c r="AK30" s="157" t="e">
        <f>SUM(#VALUE!)</f>
        <v>#VALUE!</v>
      </c>
      <c r="AL30" s="151"/>
    </row>
    <row r="31" spans="1:38">
      <c r="A31" s="146">
        <v>220</v>
      </c>
      <c r="B31" s="144" t="s">
        <v>797</v>
      </c>
      <c r="C31" s="143" t="s">
        <v>38</v>
      </c>
      <c r="D31" s="143" t="s">
        <v>74</v>
      </c>
      <c r="E31" s="143" t="s">
        <v>75</v>
      </c>
      <c r="F31" s="143" t="s">
        <v>12</v>
      </c>
      <c r="G31" s="143" t="s">
        <v>19</v>
      </c>
      <c r="H31" s="143" t="s">
        <v>743</v>
      </c>
      <c r="I31" s="143" t="s">
        <v>54</v>
      </c>
      <c r="J31" s="145"/>
      <c r="K31" s="154">
        <v>39.6</v>
      </c>
      <c r="L31" s="154">
        <v>22.9</v>
      </c>
      <c r="M31" s="154">
        <v>24.9</v>
      </c>
      <c r="N31" s="154">
        <v>12.6</v>
      </c>
      <c r="O31" s="154">
        <v>20.8</v>
      </c>
      <c r="P31" s="154">
        <v>35.299999999999997</v>
      </c>
      <c r="Q31" s="154">
        <v>34</v>
      </c>
      <c r="R31" s="154">
        <v>-2</v>
      </c>
      <c r="S31" s="154">
        <v>59</v>
      </c>
      <c r="T31" s="154">
        <v>17.100000000000001</v>
      </c>
      <c r="U31" s="158" t="s">
        <v>770</v>
      </c>
      <c r="V31" s="158" t="s">
        <v>770</v>
      </c>
      <c r="W31" s="158" t="s">
        <v>770</v>
      </c>
      <c r="X31" s="158" t="s">
        <v>756</v>
      </c>
      <c r="Y31" s="153"/>
      <c r="Z31" s="153"/>
      <c r="AA31" s="159" t="s">
        <v>770</v>
      </c>
      <c r="AB31" s="143" t="s">
        <v>744</v>
      </c>
      <c r="AC31" s="153"/>
      <c r="AD31" s="160">
        <v>66.900000000000006</v>
      </c>
      <c r="AE31" s="154"/>
      <c r="AF31" s="153"/>
      <c r="AG31" s="156">
        <v>2.2884000000000002</v>
      </c>
      <c r="AH31" s="146">
        <v>5</v>
      </c>
      <c r="AI31" s="143" t="s">
        <v>798</v>
      </c>
      <c r="AJ31" s="149"/>
      <c r="AK31" s="157">
        <f>SUM(K30:AF31)</f>
        <v>437.80000000000007</v>
      </c>
      <c r="AL31" s="151"/>
    </row>
    <row r="32" spans="1:38">
      <c r="A32" s="146">
        <v>221</v>
      </c>
      <c r="B32" s="144" t="s">
        <v>799</v>
      </c>
      <c r="C32" s="143" t="s">
        <v>38</v>
      </c>
      <c r="D32" s="143" t="s">
        <v>76</v>
      </c>
      <c r="E32" s="143" t="s">
        <v>77</v>
      </c>
      <c r="F32" s="143" t="s">
        <v>12</v>
      </c>
      <c r="G32" s="143" t="s">
        <v>10</v>
      </c>
      <c r="H32" s="143" t="s">
        <v>743</v>
      </c>
      <c r="I32" s="143" t="s">
        <v>763</v>
      </c>
      <c r="J32" s="145"/>
      <c r="K32" s="145"/>
      <c r="L32" s="153"/>
      <c r="M32" s="154">
        <v>10.199999999999999</v>
      </c>
      <c r="N32" s="158" t="s">
        <v>754</v>
      </c>
      <c r="O32" s="155">
        <v>23.4</v>
      </c>
      <c r="P32" s="154">
        <v>10.6</v>
      </c>
      <c r="Q32" s="154">
        <v>7.5</v>
      </c>
      <c r="R32" s="154">
        <v>-2.4</v>
      </c>
      <c r="S32" s="154">
        <v>11.1</v>
      </c>
      <c r="T32" s="154">
        <v>1.7</v>
      </c>
      <c r="U32" s="154">
        <v>15.7</v>
      </c>
      <c r="V32" s="154">
        <v>11.8</v>
      </c>
      <c r="W32" s="154">
        <v>3.4</v>
      </c>
      <c r="X32" s="158" t="s">
        <v>756</v>
      </c>
      <c r="Y32" s="153"/>
      <c r="Z32" s="153"/>
      <c r="AA32" s="155">
        <v>40.5</v>
      </c>
      <c r="AB32" s="146">
        <v>10.7</v>
      </c>
      <c r="AC32" s="154">
        <v>4.7</v>
      </c>
      <c r="AD32" s="146">
        <v>5.9</v>
      </c>
      <c r="AE32" s="154"/>
      <c r="AF32" s="155"/>
      <c r="AG32" s="156">
        <v>4.2771999999999997</v>
      </c>
      <c r="AH32" s="146">
        <v>5</v>
      </c>
      <c r="AI32" s="143" t="s">
        <v>800</v>
      </c>
      <c r="AJ32" s="149"/>
      <c r="AK32" s="157">
        <f t="shared" ref="AK32:AK95" si="1">SUM(K32:AF32)</f>
        <v>154.79999999999998</v>
      </c>
      <c r="AL32" s="151"/>
    </row>
    <row r="33" spans="1:38">
      <c r="A33" s="146">
        <v>222</v>
      </c>
      <c r="B33" s="144" t="s">
        <v>801</v>
      </c>
      <c r="C33" s="143" t="s">
        <v>38</v>
      </c>
      <c r="D33" s="143" t="s">
        <v>78</v>
      </c>
      <c r="E33" s="143" t="s">
        <v>79</v>
      </c>
      <c r="F33" s="143" t="s">
        <v>9</v>
      </c>
      <c r="G33" s="143" t="s">
        <v>10</v>
      </c>
      <c r="H33" s="143" t="s">
        <v>743</v>
      </c>
      <c r="I33" s="143" t="s">
        <v>54</v>
      </c>
      <c r="J33" s="145"/>
      <c r="K33" s="145"/>
      <c r="L33" s="153"/>
      <c r="M33" s="154">
        <v>18</v>
      </c>
      <c r="N33" s="154">
        <v>13.3</v>
      </c>
      <c r="O33" s="154">
        <v>23.3</v>
      </c>
      <c r="P33" s="154">
        <v>13.2</v>
      </c>
      <c r="Q33" s="158" t="s">
        <v>770</v>
      </c>
      <c r="R33" s="154">
        <v>9.8000000000000007</v>
      </c>
      <c r="S33" s="154">
        <v>27</v>
      </c>
      <c r="T33" s="154">
        <v>13.6</v>
      </c>
      <c r="U33" s="154">
        <v>28.3</v>
      </c>
      <c r="V33" s="154">
        <v>31.3</v>
      </c>
      <c r="W33" s="154">
        <v>23.5</v>
      </c>
      <c r="X33" s="145"/>
      <c r="Y33" s="153"/>
      <c r="Z33" s="153"/>
      <c r="AA33" s="159" t="s">
        <v>47</v>
      </c>
      <c r="AB33" s="143" t="s">
        <v>744</v>
      </c>
      <c r="AC33" s="153"/>
      <c r="AD33" s="160">
        <v>23.1</v>
      </c>
      <c r="AE33" s="154"/>
      <c r="AF33" s="155"/>
      <c r="AG33" s="156">
        <v>2.4005000000000001</v>
      </c>
      <c r="AH33" s="146">
        <v>5</v>
      </c>
      <c r="AI33" s="143" t="s">
        <v>802</v>
      </c>
      <c r="AJ33" s="149"/>
      <c r="AK33" s="157">
        <f t="shared" si="1"/>
        <v>224.4</v>
      </c>
      <c r="AL33" s="151"/>
    </row>
    <row r="34" spans="1:38">
      <c r="A34" s="146">
        <v>223</v>
      </c>
      <c r="B34" s="144" t="s">
        <v>803</v>
      </c>
      <c r="C34" s="143" t="s">
        <v>38</v>
      </c>
      <c r="D34" s="143" t="s">
        <v>80</v>
      </c>
      <c r="E34" s="143" t="s">
        <v>81</v>
      </c>
      <c r="F34" s="143" t="s">
        <v>9</v>
      </c>
      <c r="G34" s="143" t="s">
        <v>10</v>
      </c>
      <c r="H34" s="143" t="s">
        <v>743</v>
      </c>
      <c r="I34" s="143" t="s">
        <v>763</v>
      </c>
      <c r="J34" s="145"/>
      <c r="K34" s="145"/>
      <c r="L34" s="153"/>
      <c r="M34" s="154">
        <v>6.1</v>
      </c>
      <c r="N34" s="158" t="s">
        <v>770</v>
      </c>
      <c r="O34" s="158" t="s">
        <v>770</v>
      </c>
      <c r="P34" s="154">
        <v>26.1</v>
      </c>
      <c r="Q34" s="154">
        <v>5.9</v>
      </c>
      <c r="R34" s="154">
        <v>-6</v>
      </c>
      <c r="S34" s="154">
        <v>12.8</v>
      </c>
      <c r="T34" s="154">
        <v>2.8</v>
      </c>
      <c r="U34" s="154">
        <v>16.600000000000001</v>
      </c>
      <c r="V34" s="154">
        <v>6.2</v>
      </c>
      <c r="W34" s="154">
        <v>1.6</v>
      </c>
      <c r="X34" s="158" t="s">
        <v>756</v>
      </c>
      <c r="Y34" s="153"/>
      <c r="Z34" s="153"/>
      <c r="AA34" s="155">
        <v>25.1</v>
      </c>
      <c r="AB34" s="143" t="s">
        <v>744</v>
      </c>
      <c r="AC34" s="153"/>
      <c r="AD34" s="160">
        <v>17.899999999999999</v>
      </c>
      <c r="AE34" s="154"/>
      <c r="AF34" s="155"/>
      <c r="AG34" s="156">
        <v>2.0989</v>
      </c>
      <c r="AH34" s="146">
        <v>5</v>
      </c>
      <c r="AI34" s="143" t="s">
        <v>804</v>
      </c>
      <c r="AJ34" s="149"/>
      <c r="AK34" s="157">
        <f t="shared" si="1"/>
        <v>115.10000000000002</v>
      </c>
      <c r="AL34" s="151"/>
    </row>
    <row r="35" spans="1:38">
      <c r="A35" s="146">
        <v>224</v>
      </c>
      <c r="B35" s="144" t="s">
        <v>805</v>
      </c>
      <c r="C35" s="143" t="s">
        <v>38</v>
      </c>
      <c r="D35" s="143" t="s">
        <v>82</v>
      </c>
      <c r="E35" s="143" t="s">
        <v>83</v>
      </c>
      <c r="F35" s="143" t="s">
        <v>9</v>
      </c>
      <c r="G35" s="143" t="s">
        <v>10</v>
      </c>
      <c r="H35" s="143" t="s">
        <v>743</v>
      </c>
      <c r="I35" s="143" t="s">
        <v>763</v>
      </c>
      <c r="J35" s="145"/>
      <c r="K35" s="145"/>
      <c r="L35" s="153"/>
      <c r="M35" s="154">
        <v>38.4</v>
      </c>
      <c r="N35" s="154">
        <v>12.8</v>
      </c>
      <c r="O35" s="154">
        <v>4.3</v>
      </c>
      <c r="P35" s="154">
        <v>10.8</v>
      </c>
      <c r="Q35" s="154">
        <v>4.3</v>
      </c>
      <c r="R35" s="154">
        <v>2.9</v>
      </c>
      <c r="S35" s="154">
        <v>19.399999999999999</v>
      </c>
      <c r="T35" s="154">
        <v>-7.8</v>
      </c>
      <c r="U35" s="154">
        <v>15.4</v>
      </c>
      <c r="V35" s="154">
        <v>-2.6</v>
      </c>
      <c r="W35" s="154">
        <v>0.4</v>
      </c>
      <c r="X35" s="158" t="s">
        <v>756</v>
      </c>
      <c r="Y35" s="153"/>
      <c r="Z35" s="153"/>
      <c r="AA35" s="155">
        <v>16.8</v>
      </c>
      <c r="AB35" s="143" t="s">
        <v>744</v>
      </c>
      <c r="AC35" s="153"/>
      <c r="AD35" s="160">
        <v>13.3</v>
      </c>
      <c r="AE35" s="154"/>
      <c r="AF35" s="155"/>
      <c r="AG35" s="156">
        <v>3.9104999999999999</v>
      </c>
      <c r="AH35" s="146">
        <v>5</v>
      </c>
      <c r="AI35" s="145"/>
      <c r="AJ35" s="149"/>
      <c r="AK35" s="157">
        <f t="shared" si="1"/>
        <v>128.40000000000003</v>
      </c>
      <c r="AL35" s="151"/>
    </row>
    <row r="36" spans="1:38">
      <c r="A36" s="146">
        <v>225</v>
      </c>
      <c r="B36" s="144" t="s">
        <v>806</v>
      </c>
      <c r="C36" s="143" t="s">
        <v>38</v>
      </c>
      <c r="D36" s="143" t="s">
        <v>807</v>
      </c>
      <c r="E36" s="143" t="s">
        <v>808</v>
      </c>
      <c r="F36" s="143" t="s">
        <v>9</v>
      </c>
      <c r="G36" s="143" t="s">
        <v>10</v>
      </c>
      <c r="H36" s="143" t="s">
        <v>743</v>
      </c>
      <c r="I36" s="143" t="s">
        <v>763</v>
      </c>
      <c r="J36" s="145"/>
      <c r="K36" s="145"/>
      <c r="L36" s="153"/>
      <c r="M36" s="154">
        <v>32.700000000000003</v>
      </c>
      <c r="N36" s="154">
        <v>11</v>
      </c>
      <c r="O36" s="154">
        <v>16.600000000000001</v>
      </c>
      <c r="P36" s="154">
        <v>16.399999999999999</v>
      </c>
      <c r="Q36" s="154">
        <v>5.3</v>
      </c>
      <c r="R36" s="154">
        <v>6.5</v>
      </c>
      <c r="S36" s="154">
        <v>26</v>
      </c>
      <c r="T36" s="154">
        <v>-1.4</v>
      </c>
      <c r="U36" s="154">
        <v>26.1</v>
      </c>
      <c r="V36" s="154">
        <v>47.4</v>
      </c>
      <c r="W36" s="154">
        <v>28.2</v>
      </c>
      <c r="X36" s="158" t="s">
        <v>756</v>
      </c>
      <c r="Y36" s="153"/>
      <c r="Z36" s="153"/>
      <c r="AA36" s="155">
        <v>16.3</v>
      </c>
      <c r="AB36" s="143" t="s">
        <v>744</v>
      </c>
      <c r="AC36" s="153"/>
      <c r="AD36" s="155">
        <v>11</v>
      </c>
      <c r="AE36" s="154"/>
      <c r="AF36" s="155"/>
      <c r="AG36" s="156">
        <v>3.6697000000000002</v>
      </c>
      <c r="AH36" s="146">
        <v>5</v>
      </c>
      <c r="AI36" s="145"/>
      <c r="AJ36" s="149"/>
      <c r="AK36" s="157">
        <f t="shared" si="1"/>
        <v>242.1</v>
      </c>
      <c r="AL36" s="151"/>
    </row>
    <row r="37" spans="1:38">
      <c r="A37" s="146">
        <v>226</v>
      </c>
      <c r="B37" s="144" t="s">
        <v>809</v>
      </c>
      <c r="C37" s="143" t="s">
        <v>38</v>
      </c>
      <c r="D37" s="143" t="s">
        <v>810</v>
      </c>
      <c r="E37" s="143" t="s">
        <v>811</v>
      </c>
      <c r="F37" s="143" t="s">
        <v>9</v>
      </c>
      <c r="G37" s="143" t="s">
        <v>10</v>
      </c>
      <c r="H37" s="143" t="s">
        <v>64</v>
      </c>
      <c r="I37" s="143" t="s">
        <v>763</v>
      </c>
      <c r="J37" s="145"/>
      <c r="K37" s="145"/>
      <c r="L37" s="153"/>
      <c r="M37" s="154">
        <v>8.5</v>
      </c>
      <c r="N37" s="158" t="s">
        <v>754</v>
      </c>
      <c r="O37" s="155">
        <v>9.9</v>
      </c>
      <c r="P37" s="154">
        <v>19.2</v>
      </c>
      <c r="Q37" s="154">
        <v>-3.4</v>
      </c>
      <c r="R37" s="154">
        <v>-5.0999999999999996</v>
      </c>
      <c r="S37" s="154">
        <v>13.7</v>
      </c>
      <c r="T37" s="154">
        <v>-6.9</v>
      </c>
      <c r="U37" s="154">
        <v>20.399999999999999</v>
      </c>
      <c r="V37" s="154">
        <v>18.8</v>
      </c>
      <c r="W37" s="154">
        <v>8.4</v>
      </c>
      <c r="X37" s="158" t="s">
        <v>756</v>
      </c>
      <c r="Y37" s="153"/>
      <c r="Z37" s="153"/>
      <c r="AA37" s="155">
        <v>-0.4</v>
      </c>
      <c r="AB37" s="143" t="s">
        <v>744</v>
      </c>
      <c r="AC37" s="153"/>
      <c r="AD37" s="160">
        <v>2.8</v>
      </c>
      <c r="AE37" s="154"/>
      <c r="AF37" s="155"/>
      <c r="AG37" s="156">
        <v>5.5134999999999996</v>
      </c>
      <c r="AH37" s="146">
        <v>5</v>
      </c>
      <c r="AI37" s="145"/>
      <c r="AJ37" s="149"/>
      <c r="AK37" s="157">
        <f t="shared" si="1"/>
        <v>85.899999999999991</v>
      </c>
      <c r="AL37" s="151"/>
    </row>
    <row r="38" spans="1:38">
      <c r="A38" s="146">
        <v>227</v>
      </c>
      <c r="B38" s="144" t="s">
        <v>812</v>
      </c>
      <c r="C38" s="143" t="s">
        <v>38</v>
      </c>
      <c r="D38" s="143" t="s">
        <v>813</v>
      </c>
      <c r="E38" s="143" t="s">
        <v>85</v>
      </c>
      <c r="F38" s="143" t="s">
        <v>9</v>
      </c>
      <c r="G38" s="143" t="s">
        <v>73</v>
      </c>
      <c r="H38" s="143" t="s">
        <v>64</v>
      </c>
      <c r="I38" s="143" t="s">
        <v>763</v>
      </c>
      <c r="J38" s="145"/>
      <c r="K38" s="145"/>
      <c r="L38" s="153"/>
      <c r="M38" s="153"/>
      <c r="N38" s="158" t="s">
        <v>754</v>
      </c>
      <c r="O38" s="155">
        <v>6.6</v>
      </c>
      <c r="P38" s="154">
        <v>3.5</v>
      </c>
      <c r="Q38" s="154">
        <v>3.1</v>
      </c>
      <c r="R38" s="154">
        <v>-4</v>
      </c>
      <c r="S38" s="154">
        <v>4.5</v>
      </c>
      <c r="T38" s="158" t="s">
        <v>754</v>
      </c>
      <c r="U38" s="155">
        <v>0</v>
      </c>
      <c r="V38" s="158" t="s">
        <v>775</v>
      </c>
      <c r="W38" s="145"/>
      <c r="X38" s="153"/>
      <c r="Y38" s="153"/>
      <c r="Z38" s="153"/>
      <c r="AA38" s="155">
        <v>-1</v>
      </c>
      <c r="AB38" s="143" t="s">
        <v>744</v>
      </c>
      <c r="AC38" s="153"/>
      <c r="AD38" s="160">
        <v>0.7</v>
      </c>
      <c r="AE38" s="154"/>
      <c r="AF38" s="155"/>
      <c r="AG38" s="156">
        <v>2.4527999999999999</v>
      </c>
      <c r="AH38" s="146">
        <v>5</v>
      </c>
      <c r="AI38" s="145"/>
      <c r="AJ38" s="149"/>
      <c r="AK38" s="157">
        <f t="shared" si="1"/>
        <v>13.399999999999999</v>
      </c>
      <c r="AL38" s="151"/>
    </row>
    <row r="39" spans="1:38">
      <c r="A39" s="146">
        <v>228</v>
      </c>
      <c r="B39" s="144" t="s">
        <v>814</v>
      </c>
      <c r="C39" s="143" t="s">
        <v>38</v>
      </c>
      <c r="D39" s="143" t="s">
        <v>86</v>
      </c>
      <c r="E39" s="143" t="s">
        <v>815</v>
      </c>
      <c r="F39" s="143" t="s">
        <v>9</v>
      </c>
      <c r="G39" s="143" t="s">
        <v>73</v>
      </c>
      <c r="H39" s="143" t="s">
        <v>743</v>
      </c>
      <c r="I39" s="143" t="s">
        <v>54</v>
      </c>
      <c r="J39" s="145"/>
      <c r="K39" s="145"/>
      <c r="L39" s="153"/>
      <c r="M39" s="153"/>
      <c r="N39" s="158" t="s">
        <v>754</v>
      </c>
      <c r="O39" s="155">
        <v>12</v>
      </c>
      <c r="P39" s="154">
        <v>4.4000000000000004</v>
      </c>
      <c r="Q39" s="154">
        <v>3.4</v>
      </c>
      <c r="R39" s="154">
        <v>-3.3</v>
      </c>
      <c r="S39" s="145"/>
      <c r="T39" s="153"/>
      <c r="U39" s="159" t="s">
        <v>47</v>
      </c>
      <c r="V39" s="159" t="s">
        <v>87</v>
      </c>
      <c r="W39" s="153"/>
      <c r="X39" s="153"/>
      <c r="Y39" s="153"/>
      <c r="Z39" s="153"/>
      <c r="AA39" s="159" t="s">
        <v>47</v>
      </c>
      <c r="AB39" s="143" t="s">
        <v>744</v>
      </c>
      <c r="AC39" s="153"/>
      <c r="AD39" s="160">
        <v>2.5</v>
      </c>
      <c r="AE39" s="154"/>
      <c r="AF39" s="155"/>
      <c r="AG39" s="156">
        <v>4.0002000000000004</v>
      </c>
      <c r="AH39" s="146">
        <v>5</v>
      </c>
      <c r="AI39" s="143" t="s">
        <v>816</v>
      </c>
      <c r="AJ39" s="149"/>
      <c r="AK39" s="157">
        <f t="shared" si="1"/>
        <v>18.999999999999996</v>
      </c>
      <c r="AL39" s="151"/>
    </row>
    <row r="40" spans="1:38">
      <c r="A40" s="146">
        <v>229</v>
      </c>
      <c r="B40" s="144" t="s">
        <v>817</v>
      </c>
      <c r="C40" s="143" t="s">
        <v>38</v>
      </c>
      <c r="D40" s="143" t="s">
        <v>88</v>
      </c>
      <c r="E40" s="143" t="s">
        <v>89</v>
      </c>
      <c r="F40" s="143" t="s">
        <v>9</v>
      </c>
      <c r="G40" s="143" t="s">
        <v>73</v>
      </c>
      <c r="H40" s="143" t="s">
        <v>743</v>
      </c>
      <c r="I40" s="143" t="s">
        <v>54</v>
      </c>
      <c r="J40" s="145"/>
      <c r="K40" s="145"/>
      <c r="L40" s="153"/>
      <c r="M40" s="153"/>
      <c r="N40" s="158" t="s">
        <v>754</v>
      </c>
      <c r="O40" s="155">
        <v>14.7</v>
      </c>
      <c r="P40" s="154">
        <v>19.5</v>
      </c>
      <c r="Q40" s="154">
        <v>7.9</v>
      </c>
      <c r="R40" s="154">
        <v>0.4</v>
      </c>
      <c r="S40" s="154">
        <v>39</v>
      </c>
      <c r="T40" s="145"/>
      <c r="U40" s="159" t="s">
        <v>47</v>
      </c>
      <c r="V40" s="159" t="s">
        <v>87</v>
      </c>
      <c r="W40" s="153"/>
      <c r="X40" s="153"/>
      <c r="Y40" s="153"/>
      <c r="Z40" s="153"/>
      <c r="AA40" s="159" t="s">
        <v>47</v>
      </c>
      <c r="AB40" s="143" t="s">
        <v>744</v>
      </c>
      <c r="AC40" s="153"/>
      <c r="AD40" s="160">
        <v>13.2</v>
      </c>
      <c r="AE40" s="154"/>
      <c r="AF40" s="155"/>
      <c r="AG40" s="156">
        <v>5.0320999999999998</v>
      </c>
      <c r="AH40" s="146">
        <v>5</v>
      </c>
      <c r="AI40" s="143" t="s">
        <v>818</v>
      </c>
      <c r="AJ40" s="149"/>
      <c r="AK40" s="157">
        <f t="shared" si="1"/>
        <v>94.7</v>
      </c>
      <c r="AL40" s="151"/>
    </row>
    <row r="41" spans="1:38">
      <c r="A41" s="146">
        <v>230</v>
      </c>
      <c r="B41" s="144" t="s">
        <v>819</v>
      </c>
      <c r="C41" s="143" t="s">
        <v>38</v>
      </c>
      <c r="D41" s="143" t="s">
        <v>90</v>
      </c>
      <c r="E41" s="143" t="s">
        <v>91</v>
      </c>
      <c r="F41" s="143" t="s">
        <v>9</v>
      </c>
      <c r="G41" s="143" t="s">
        <v>31</v>
      </c>
      <c r="H41" s="143" t="s">
        <v>743</v>
      </c>
      <c r="I41" s="143" t="s">
        <v>763</v>
      </c>
      <c r="J41" s="145"/>
      <c r="K41" s="145"/>
      <c r="L41" s="153"/>
      <c r="M41" s="153"/>
      <c r="N41" s="153"/>
      <c r="O41" s="153"/>
      <c r="P41" s="154">
        <v>8.1</v>
      </c>
      <c r="Q41" s="154">
        <v>7.2</v>
      </c>
      <c r="R41" s="154">
        <v>16.2</v>
      </c>
      <c r="S41" s="154">
        <v>15.5</v>
      </c>
      <c r="T41" s="154">
        <v>-3.1</v>
      </c>
      <c r="U41" s="154">
        <v>9.1999999999999993</v>
      </c>
      <c r="V41" s="158" t="s">
        <v>775</v>
      </c>
      <c r="W41" s="153"/>
      <c r="X41" s="153"/>
      <c r="Y41" s="153"/>
      <c r="Z41" s="153"/>
      <c r="AA41" s="155">
        <v>12.8</v>
      </c>
      <c r="AB41" s="143" t="s">
        <v>744</v>
      </c>
      <c r="AC41" s="153"/>
      <c r="AD41" s="160">
        <v>3.9</v>
      </c>
      <c r="AE41" s="154"/>
      <c r="AF41" s="155"/>
      <c r="AG41" s="156">
        <v>3.2054</v>
      </c>
      <c r="AH41" s="146">
        <v>5</v>
      </c>
      <c r="AI41" s="145"/>
      <c r="AJ41" s="149"/>
      <c r="AK41" s="157">
        <f t="shared" si="1"/>
        <v>69.8</v>
      </c>
      <c r="AL41" s="151"/>
    </row>
    <row r="42" spans="1:38">
      <c r="A42" s="146">
        <v>231</v>
      </c>
      <c r="B42" s="144" t="s">
        <v>820</v>
      </c>
      <c r="C42" s="143" t="s">
        <v>38</v>
      </c>
      <c r="D42" s="143" t="s">
        <v>821</v>
      </c>
      <c r="E42" s="143" t="s">
        <v>92</v>
      </c>
      <c r="F42" s="143" t="s">
        <v>9</v>
      </c>
      <c r="G42" s="143" t="s">
        <v>31</v>
      </c>
      <c r="H42" s="143" t="s">
        <v>64</v>
      </c>
      <c r="I42" s="143" t="s">
        <v>54</v>
      </c>
      <c r="J42" s="145"/>
      <c r="K42" s="145"/>
      <c r="L42" s="153"/>
      <c r="M42" s="153"/>
      <c r="N42" s="153"/>
      <c r="O42" s="153"/>
      <c r="P42" s="158" t="s">
        <v>770</v>
      </c>
      <c r="Q42" s="154">
        <v>14.3</v>
      </c>
      <c r="R42" s="154">
        <v>7.4</v>
      </c>
      <c r="S42" s="158" t="s">
        <v>770</v>
      </c>
      <c r="T42" s="145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5"/>
      <c r="AF42" s="155"/>
      <c r="AG42" s="156">
        <v>5.9226999999999999</v>
      </c>
      <c r="AH42" s="146">
        <v>57</v>
      </c>
      <c r="AI42" s="143" t="s">
        <v>822</v>
      </c>
      <c r="AJ42" s="149"/>
      <c r="AK42" s="157">
        <f t="shared" si="1"/>
        <v>21.700000000000003</v>
      </c>
      <c r="AL42" s="151"/>
    </row>
    <row r="43" spans="1:38">
      <c r="A43" s="146">
        <v>232</v>
      </c>
      <c r="B43" s="144" t="s">
        <v>823</v>
      </c>
      <c r="C43" s="143" t="s">
        <v>38</v>
      </c>
      <c r="D43" s="143" t="s">
        <v>824</v>
      </c>
      <c r="E43" s="143" t="s">
        <v>825</v>
      </c>
      <c r="F43" s="143" t="s">
        <v>9</v>
      </c>
      <c r="G43" s="143" t="s">
        <v>31</v>
      </c>
      <c r="H43" s="143" t="s">
        <v>64</v>
      </c>
      <c r="I43" s="143" t="s">
        <v>763</v>
      </c>
      <c r="J43" s="145"/>
      <c r="K43" s="145"/>
      <c r="L43" s="153"/>
      <c r="M43" s="153"/>
      <c r="N43" s="153"/>
      <c r="O43" s="153"/>
      <c r="P43" s="154">
        <v>48.6</v>
      </c>
      <c r="Q43" s="154">
        <v>12.4</v>
      </c>
      <c r="R43" s="154">
        <v>8.9</v>
      </c>
      <c r="S43" s="154">
        <v>20.6</v>
      </c>
      <c r="T43" s="154">
        <v>0.2</v>
      </c>
      <c r="U43" s="154">
        <v>27.2</v>
      </c>
      <c r="V43" s="145"/>
      <c r="W43" s="153"/>
      <c r="X43" s="153"/>
      <c r="Y43" s="153"/>
      <c r="Z43" s="153"/>
      <c r="AA43" s="153"/>
      <c r="AB43" s="153"/>
      <c r="AC43" s="153"/>
      <c r="AD43" s="153"/>
      <c r="AE43" s="155"/>
      <c r="AF43" s="155"/>
      <c r="AG43" s="156">
        <v>2.8774000000000002</v>
      </c>
      <c r="AH43" s="146">
        <v>59</v>
      </c>
      <c r="AI43" s="145"/>
      <c r="AJ43" s="149"/>
      <c r="AK43" s="157">
        <f t="shared" si="1"/>
        <v>117.9</v>
      </c>
      <c r="AL43" s="151"/>
    </row>
    <row r="44" spans="1:38">
      <c r="A44" s="146">
        <v>233</v>
      </c>
      <c r="B44" s="144" t="s">
        <v>826</v>
      </c>
      <c r="C44" s="143" t="s">
        <v>38</v>
      </c>
      <c r="D44" s="143" t="s">
        <v>827</v>
      </c>
      <c r="E44" s="143" t="s">
        <v>94</v>
      </c>
      <c r="F44" s="143" t="s">
        <v>9</v>
      </c>
      <c r="G44" s="143" t="s">
        <v>31</v>
      </c>
      <c r="H44" s="143" t="s">
        <v>64</v>
      </c>
      <c r="I44" s="143" t="s">
        <v>54</v>
      </c>
      <c r="J44" s="145"/>
      <c r="K44" s="145"/>
      <c r="L44" s="153"/>
      <c r="M44" s="153"/>
      <c r="N44" s="153"/>
      <c r="O44" s="153"/>
      <c r="P44" s="154">
        <v>20.399999999999999</v>
      </c>
      <c r="Q44" s="154">
        <v>0.8</v>
      </c>
      <c r="R44" s="154">
        <v>4.9000000000000004</v>
      </c>
      <c r="S44" s="154">
        <v>5.9</v>
      </c>
      <c r="T44" s="154">
        <v>-5.6</v>
      </c>
      <c r="U44" s="154">
        <v>47.6</v>
      </c>
      <c r="V44" s="145"/>
      <c r="W44" s="153"/>
      <c r="X44" s="153"/>
      <c r="Y44" s="153"/>
      <c r="Z44" s="153"/>
      <c r="AA44" s="153"/>
      <c r="AB44" s="153"/>
      <c r="AC44" s="153"/>
      <c r="AD44" s="153"/>
      <c r="AE44" s="155"/>
      <c r="AF44" s="155"/>
      <c r="AG44" s="156">
        <v>3.7907999999999999</v>
      </c>
      <c r="AH44" s="146">
        <v>59</v>
      </c>
      <c r="AI44" s="145"/>
      <c r="AJ44" s="149"/>
      <c r="AK44" s="157">
        <f t="shared" si="1"/>
        <v>74</v>
      </c>
      <c r="AL44" s="151"/>
    </row>
    <row r="45" spans="1:38">
      <c r="A45" s="146">
        <v>301</v>
      </c>
      <c r="B45" s="144" t="s">
        <v>828</v>
      </c>
      <c r="C45" s="143" t="s">
        <v>96</v>
      </c>
      <c r="D45" s="143" t="s">
        <v>829</v>
      </c>
      <c r="E45" s="143" t="s">
        <v>97</v>
      </c>
      <c r="F45" s="143" t="s">
        <v>12</v>
      </c>
      <c r="G45" s="143" t="s">
        <v>19</v>
      </c>
      <c r="H45" s="143" t="s">
        <v>743</v>
      </c>
      <c r="I45" s="143" t="s">
        <v>98</v>
      </c>
      <c r="J45" s="145"/>
      <c r="K45" s="158" t="s">
        <v>754</v>
      </c>
      <c r="L45" s="155">
        <v>34.1</v>
      </c>
      <c r="M45" s="154">
        <v>-3.4</v>
      </c>
      <c r="N45" s="154">
        <v>6.7</v>
      </c>
      <c r="O45" s="154">
        <v>10.199999999999999</v>
      </c>
      <c r="P45" s="154">
        <v>8.3000000000000007</v>
      </c>
      <c r="Q45" s="154">
        <v>3</v>
      </c>
      <c r="R45" s="154">
        <v>-6.1</v>
      </c>
      <c r="S45" s="154">
        <v>4.0999999999999996</v>
      </c>
      <c r="T45" s="154">
        <v>2.9</v>
      </c>
      <c r="U45" s="154">
        <v>5</v>
      </c>
      <c r="V45" s="154">
        <v>21.5</v>
      </c>
      <c r="W45" s="154">
        <v>1</v>
      </c>
      <c r="X45" s="154">
        <v>-8.6999999999999993</v>
      </c>
      <c r="Y45" s="146">
        <v>4.5999999999999996</v>
      </c>
      <c r="Z45" s="154">
        <v>5</v>
      </c>
      <c r="AA45" s="154">
        <v>-2.8</v>
      </c>
      <c r="AB45" s="154">
        <v>8.9</v>
      </c>
      <c r="AC45" s="154">
        <v>-2.2000000000000002</v>
      </c>
      <c r="AD45" s="146">
        <v>-3.1</v>
      </c>
      <c r="AE45" s="154">
        <v>4.2</v>
      </c>
      <c r="AF45" s="154">
        <v>5.4</v>
      </c>
      <c r="AG45" s="156">
        <v>13.404299999999999</v>
      </c>
      <c r="AH45" s="146">
        <v>7</v>
      </c>
      <c r="AI45" s="145"/>
      <c r="AJ45" s="149"/>
      <c r="AK45" s="157">
        <f t="shared" si="1"/>
        <v>98.600000000000023</v>
      </c>
      <c r="AL45" s="151"/>
    </row>
    <row r="46" spans="1:38">
      <c r="A46" s="146">
        <v>302</v>
      </c>
      <c r="B46" s="144" t="s">
        <v>830</v>
      </c>
      <c r="C46" s="143" t="s">
        <v>96</v>
      </c>
      <c r="D46" s="143" t="s">
        <v>831</v>
      </c>
      <c r="E46" s="143" t="s">
        <v>99</v>
      </c>
      <c r="F46" s="143" t="s">
        <v>12</v>
      </c>
      <c r="G46" s="143" t="s">
        <v>73</v>
      </c>
      <c r="H46" s="143" t="s">
        <v>743</v>
      </c>
      <c r="I46" s="143" t="s">
        <v>763</v>
      </c>
      <c r="J46" s="145"/>
      <c r="K46" s="145"/>
      <c r="L46" s="153"/>
      <c r="M46" s="153"/>
      <c r="N46" s="158" t="s">
        <v>754</v>
      </c>
      <c r="O46" s="155">
        <v>31.8</v>
      </c>
      <c r="P46" s="154">
        <v>22.8</v>
      </c>
      <c r="Q46" s="154">
        <v>13.6</v>
      </c>
      <c r="R46" s="154">
        <v>-11.2</v>
      </c>
      <c r="S46" s="154">
        <v>18</v>
      </c>
      <c r="T46" s="154">
        <v>17.600000000000001</v>
      </c>
      <c r="U46" s="154">
        <v>65.2</v>
      </c>
      <c r="V46" s="154">
        <v>35.200000000000003</v>
      </c>
      <c r="W46" s="154">
        <v>-0.8</v>
      </c>
      <c r="X46" s="154">
        <v>-5.2</v>
      </c>
      <c r="Y46" s="143" t="s">
        <v>744</v>
      </c>
      <c r="Z46" s="153"/>
      <c r="AA46" s="155">
        <v>13</v>
      </c>
      <c r="AB46" s="154">
        <v>22.6</v>
      </c>
      <c r="AC46" s="154">
        <v>-2.8</v>
      </c>
      <c r="AD46" s="146">
        <v>-0.7</v>
      </c>
      <c r="AE46" s="154">
        <v>6.3</v>
      </c>
      <c r="AF46" s="154">
        <v>7</v>
      </c>
      <c r="AG46" s="156">
        <v>8.9886999999999997</v>
      </c>
      <c r="AH46" s="146">
        <v>7</v>
      </c>
      <c r="AI46" s="143" t="s">
        <v>745</v>
      </c>
      <c r="AJ46" s="149"/>
      <c r="AK46" s="157">
        <f t="shared" si="1"/>
        <v>232.4</v>
      </c>
      <c r="AL46" s="151"/>
    </row>
    <row r="47" spans="1:38">
      <c r="A47" s="146">
        <v>303</v>
      </c>
      <c r="B47" s="144" t="s">
        <v>832</v>
      </c>
      <c r="C47" s="143" t="s">
        <v>96</v>
      </c>
      <c r="D47" s="143" t="s">
        <v>100</v>
      </c>
      <c r="E47" s="143" t="s">
        <v>101</v>
      </c>
      <c r="F47" s="143" t="s">
        <v>9</v>
      </c>
      <c r="G47" s="143" t="s">
        <v>10</v>
      </c>
      <c r="H47" s="143" t="s">
        <v>743</v>
      </c>
      <c r="I47" s="143" t="s">
        <v>763</v>
      </c>
      <c r="J47" s="145"/>
      <c r="K47" s="145"/>
      <c r="L47" s="153"/>
      <c r="M47" s="154">
        <v>18</v>
      </c>
      <c r="N47" s="154">
        <v>2.8</v>
      </c>
      <c r="O47" s="154">
        <v>15.8</v>
      </c>
      <c r="P47" s="154">
        <v>15</v>
      </c>
      <c r="Q47" s="154">
        <v>5</v>
      </c>
      <c r="R47" s="154">
        <v>-2.5</v>
      </c>
      <c r="S47" s="154">
        <v>10.3</v>
      </c>
      <c r="T47" s="154">
        <v>3.3</v>
      </c>
      <c r="U47" s="154">
        <v>15.1</v>
      </c>
      <c r="V47" s="154">
        <v>31.9</v>
      </c>
      <c r="W47" s="154">
        <v>2.7</v>
      </c>
      <c r="X47" s="154">
        <v>-7.8</v>
      </c>
      <c r="Y47" s="146">
        <v>5.9</v>
      </c>
      <c r="Z47" s="154">
        <v>6.3</v>
      </c>
      <c r="AA47" s="154">
        <v>-2.2000000000000002</v>
      </c>
      <c r="AB47" s="154">
        <v>10.5</v>
      </c>
      <c r="AC47" s="154">
        <v>-3</v>
      </c>
      <c r="AD47" s="154">
        <v>-1</v>
      </c>
      <c r="AE47" s="154">
        <v>6.8</v>
      </c>
      <c r="AF47" s="154">
        <v>5.0999999999999996</v>
      </c>
      <c r="AG47" s="156">
        <v>9.6844000000000001</v>
      </c>
      <c r="AH47" s="146">
        <v>7</v>
      </c>
      <c r="AI47" s="145"/>
      <c r="AJ47" s="149"/>
      <c r="AK47" s="157">
        <f t="shared" si="1"/>
        <v>138</v>
      </c>
      <c r="AL47" s="151"/>
    </row>
    <row r="48" spans="1:38">
      <c r="A48" s="146">
        <v>304</v>
      </c>
      <c r="B48" s="144" t="s">
        <v>833</v>
      </c>
      <c r="C48" s="143" t="s">
        <v>96</v>
      </c>
      <c r="D48" s="143" t="s">
        <v>834</v>
      </c>
      <c r="E48" s="143" t="s">
        <v>102</v>
      </c>
      <c r="F48" s="143" t="s">
        <v>9</v>
      </c>
      <c r="G48" s="143" t="s">
        <v>19</v>
      </c>
      <c r="H48" s="143" t="s">
        <v>743</v>
      </c>
      <c r="I48" s="143" t="s">
        <v>763</v>
      </c>
      <c r="J48" s="145"/>
      <c r="K48" s="154">
        <v>20.3</v>
      </c>
      <c r="L48" s="154">
        <v>2.4</v>
      </c>
      <c r="M48" s="154">
        <v>-1.2</v>
      </c>
      <c r="N48" s="154">
        <v>8.1</v>
      </c>
      <c r="O48" s="154">
        <v>11.7</v>
      </c>
      <c r="P48" s="154">
        <v>8.9</v>
      </c>
      <c r="Q48" s="154">
        <v>1.9</v>
      </c>
      <c r="R48" s="154">
        <v>-7.1</v>
      </c>
      <c r="S48" s="154">
        <v>4.4000000000000004</v>
      </c>
      <c r="T48" s="154">
        <v>3.6</v>
      </c>
      <c r="U48" s="154">
        <v>19</v>
      </c>
      <c r="V48" s="154">
        <v>17.7</v>
      </c>
      <c r="W48" s="154">
        <v>-3.2</v>
      </c>
      <c r="X48" s="154">
        <v>-8.1999999999999993</v>
      </c>
      <c r="Y48" s="146">
        <v>4.4000000000000004</v>
      </c>
      <c r="Z48" s="154">
        <v>8.6</v>
      </c>
      <c r="AA48" s="154">
        <v>-3.3</v>
      </c>
      <c r="AB48" s="154">
        <v>8.1999999999999993</v>
      </c>
      <c r="AC48" s="154">
        <v>-1.2</v>
      </c>
      <c r="AD48" s="146">
        <v>-3.7</v>
      </c>
      <c r="AE48" s="154">
        <v>4.9000000000000004</v>
      </c>
      <c r="AF48" s="154">
        <v>4.2</v>
      </c>
      <c r="AG48" s="156">
        <v>9.4511000000000003</v>
      </c>
      <c r="AH48" s="146">
        <v>7</v>
      </c>
      <c r="AI48" s="145"/>
      <c r="AJ48" s="149"/>
      <c r="AK48" s="157">
        <f t="shared" si="1"/>
        <v>100.4</v>
      </c>
      <c r="AL48" s="151"/>
    </row>
    <row r="49" spans="1:38">
      <c r="A49" s="146">
        <v>305</v>
      </c>
      <c r="B49" s="144" t="s">
        <v>835</v>
      </c>
      <c r="C49" s="143" t="s">
        <v>96</v>
      </c>
      <c r="D49" s="143" t="s">
        <v>103</v>
      </c>
      <c r="E49" s="143" t="s">
        <v>104</v>
      </c>
      <c r="F49" s="143" t="s">
        <v>9</v>
      </c>
      <c r="G49" s="143" t="s">
        <v>10</v>
      </c>
      <c r="H49" s="143" t="s">
        <v>743</v>
      </c>
      <c r="I49" s="143" t="s">
        <v>54</v>
      </c>
      <c r="J49" s="145"/>
      <c r="K49" s="145"/>
      <c r="L49" s="153"/>
      <c r="M49" s="154">
        <v>14.5</v>
      </c>
      <c r="N49" s="154">
        <v>8.1</v>
      </c>
      <c r="O49" s="154">
        <v>20.2</v>
      </c>
      <c r="P49" s="154">
        <v>17.3</v>
      </c>
      <c r="Q49" s="154">
        <v>8.3000000000000007</v>
      </c>
      <c r="R49" s="154">
        <v>2.2999999999999998</v>
      </c>
      <c r="S49" s="154">
        <v>11.8</v>
      </c>
      <c r="T49" s="154">
        <v>3.5</v>
      </c>
      <c r="U49" s="154">
        <v>32.9</v>
      </c>
      <c r="V49" s="154">
        <v>67</v>
      </c>
      <c r="W49" s="154">
        <v>6.9</v>
      </c>
      <c r="X49" s="154">
        <v>-3.8</v>
      </c>
      <c r="Y49" s="146">
        <v>2.6</v>
      </c>
      <c r="Z49" s="154">
        <v>10.6</v>
      </c>
      <c r="AA49" s="154">
        <v>-2.1</v>
      </c>
      <c r="AB49" s="154">
        <v>13.6</v>
      </c>
      <c r="AC49" s="154">
        <v>-1.9</v>
      </c>
      <c r="AD49" s="146">
        <v>-0.5</v>
      </c>
      <c r="AE49" s="154">
        <v>6.4</v>
      </c>
      <c r="AF49" s="154">
        <v>5.7</v>
      </c>
      <c r="AG49" s="156">
        <v>7.7507999999999999</v>
      </c>
      <c r="AH49" s="146">
        <v>7</v>
      </c>
      <c r="AI49" s="145"/>
      <c r="AJ49" s="149"/>
      <c r="AK49" s="157">
        <f t="shared" si="1"/>
        <v>223.39999999999995</v>
      </c>
      <c r="AL49" s="151"/>
    </row>
    <row r="50" spans="1:38">
      <c r="A50" s="146">
        <v>306</v>
      </c>
      <c r="B50" s="144" t="s">
        <v>836</v>
      </c>
      <c r="C50" s="143" t="s">
        <v>96</v>
      </c>
      <c r="D50" s="143" t="s">
        <v>837</v>
      </c>
      <c r="E50" s="143" t="s">
        <v>105</v>
      </c>
      <c r="F50" s="143" t="s">
        <v>9</v>
      </c>
      <c r="G50" s="143" t="s">
        <v>19</v>
      </c>
      <c r="H50" s="143" t="s">
        <v>743</v>
      </c>
      <c r="I50" s="143" t="s">
        <v>54</v>
      </c>
      <c r="J50" s="145"/>
      <c r="K50" s="154">
        <v>32.700000000000003</v>
      </c>
      <c r="L50" s="154">
        <v>35.1</v>
      </c>
      <c r="M50" s="154">
        <v>39.799999999999997</v>
      </c>
      <c r="N50" s="154">
        <v>-9.3000000000000007</v>
      </c>
      <c r="O50" s="154">
        <v>13.9</v>
      </c>
      <c r="P50" s="154">
        <v>53.5</v>
      </c>
      <c r="Q50" s="154">
        <v>20.100000000000001</v>
      </c>
      <c r="R50" s="154">
        <v>2</v>
      </c>
      <c r="S50" s="154">
        <v>31.2</v>
      </c>
      <c r="T50" s="154">
        <v>28.1</v>
      </c>
      <c r="U50" s="154">
        <v>83.9</v>
      </c>
      <c r="V50" s="154">
        <v>46.3</v>
      </c>
      <c r="W50" s="154">
        <v>9.4</v>
      </c>
      <c r="X50" s="154">
        <v>-10.8</v>
      </c>
      <c r="Y50" s="146">
        <v>1.3</v>
      </c>
      <c r="Z50" s="154">
        <v>10.5</v>
      </c>
      <c r="AA50" s="154">
        <v>-2.8</v>
      </c>
      <c r="AB50" s="154">
        <v>9.6999999999999993</v>
      </c>
      <c r="AC50" s="154">
        <v>0</v>
      </c>
      <c r="AD50" s="146">
        <v>-2.6</v>
      </c>
      <c r="AE50" s="154">
        <v>6</v>
      </c>
      <c r="AF50" s="154">
        <v>6.6</v>
      </c>
      <c r="AG50" s="156">
        <v>7.117</v>
      </c>
      <c r="AH50" s="146">
        <v>7</v>
      </c>
      <c r="AI50" s="145"/>
      <c r="AJ50" s="149"/>
      <c r="AK50" s="157">
        <f t="shared" si="1"/>
        <v>404.59999999999997</v>
      </c>
      <c r="AL50" s="151"/>
    </row>
    <row r="51" spans="1:38">
      <c r="A51" s="146">
        <v>307</v>
      </c>
      <c r="B51" s="144" t="s">
        <v>838</v>
      </c>
      <c r="C51" s="143" t="s">
        <v>96</v>
      </c>
      <c r="D51" s="143" t="s">
        <v>839</v>
      </c>
      <c r="E51" s="143" t="s">
        <v>106</v>
      </c>
      <c r="F51" s="143" t="s">
        <v>9</v>
      </c>
      <c r="G51" s="143" t="s">
        <v>19</v>
      </c>
      <c r="H51" s="143" t="s">
        <v>743</v>
      </c>
      <c r="I51" s="143" t="s">
        <v>54</v>
      </c>
      <c r="J51" s="145"/>
      <c r="K51" s="154">
        <v>48.3</v>
      </c>
      <c r="L51" s="154">
        <v>47.1</v>
      </c>
      <c r="M51" s="154">
        <v>36.6</v>
      </c>
      <c r="N51" s="154">
        <v>0.7</v>
      </c>
      <c r="O51" s="154">
        <v>21.6</v>
      </c>
      <c r="P51" s="154">
        <v>29.2</v>
      </c>
      <c r="Q51" s="154">
        <v>16</v>
      </c>
      <c r="R51" s="154">
        <v>3.1</v>
      </c>
      <c r="S51" s="154">
        <v>14.9</v>
      </c>
      <c r="T51" s="154">
        <v>7.6</v>
      </c>
      <c r="U51" s="154">
        <v>26.3</v>
      </c>
      <c r="V51" s="154">
        <v>44.5</v>
      </c>
      <c r="W51" s="154">
        <v>8.6999999999999993</v>
      </c>
      <c r="X51" s="154">
        <v>-2</v>
      </c>
      <c r="Y51" s="146">
        <v>-0.2</v>
      </c>
      <c r="Z51" s="154">
        <v>12</v>
      </c>
      <c r="AA51" s="154">
        <v>-2.4</v>
      </c>
      <c r="AB51" s="154">
        <v>12.6</v>
      </c>
      <c r="AC51" s="154">
        <v>0.8</v>
      </c>
      <c r="AD51" s="146">
        <v>0.5</v>
      </c>
      <c r="AE51" s="154">
        <v>7.3</v>
      </c>
      <c r="AF51" s="154">
        <v>7.6</v>
      </c>
      <c r="AG51" s="156">
        <v>6.1437999999999997</v>
      </c>
      <c r="AH51" s="146">
        <v>7</v>
      </c>
      <c r="AI51" s="145"/>
      <c r="AJ51" s="149"/>
      <c r="AK51" s="157">
        <f t="shared" si="1"/>
        <v>340.80000000000007</v>
      </c>
      <c r="AL51" s="151"/>
    </row>
    <row r="52" spans="1:38">
      <c r="A52" s="146">
        <v>308</v>
      </c>
      <c r="B52" s="144" t="s">
        <v>840</v>
      </c>
      <c r="C52" s="143" t="s">
        <v>96</v>
      </c>
      <c r="D52" s="143" t="s">
        <v>107</v>
      </c>
      <c r="E52" s="143" t="s">
        <v>108</v>
      </c>
      <c r="F52" s="143" t="s">
        <v>9</v>
      </c>
      <c r="G52" s="143" t="s">
        <v>10</v>
      </c>
      <c r="H52" s="143" t="s">
        <v>743</v>
      </c>
      <c r="I52" s="143" t="s">
        <v>763</v>
      </c>
      <c r="J52" s="145"/>
      <c r="K52" s="145"/>
      <c r="L52" s="153"/>
      <c r="M52" s="154">
        <v>19.399999999999999</v>
      </c>
      <c r="N52" s="154">
        <v>19</v>
      </c>
      <c r="O52" s="154">
        <v>29.6</v>
      </c>
      <c r="P52" s="154">
        <v>29.7</v>
      </c>
      <c r="Q52" s="154">
        <v>14.8</v>
      </c>
      <c r="R52" s="154">
        <v>1.3</v>
      </c>
      <c r="S52" s="154">
        <v>14.6</v>
      </c>
      <c r="T52" s="154">
        <v>5.0999999999999996</v>
      </c>
      <c r="U52" s="154">
        <v>35.6</v>
      </c>
      <c r="V52" s="158" t="s">
        <v>770</v>
      </c>
      <c r="W52" s="154">
        <v>47.6</v>
      </c>
      <c r="X52" s="154">
        <v>12</v>
      </c>
      <c r="Y52" s="146">
        <v>1.5</v>
      </c>
      <c r="Z52" s="154">
        <v>14.4</v>
      </c>
      <c r="AA52" s="154">
        <v>5.8</v>
      </c>
      <c r="AB52" s="154">
        <v>18.2</v>
      </c>
      <c r="AC52" s="154">
        <v>2.4</v>
      </c>
      <c r="AD52" s="146">
        <v>0.7</v>
      </c>
      <c r="AE52" s="154">
        <v>9.6</v>
      </c>
      <c r="AF52" s="154">
        <v>6.9</v>
      </c>
      <c r="AG52" s="156">
        <v>6.0659000000000001</v>
      </c>
      <c r="AH52" s="146">
        <v>7</v>
      </c>
      <c r="AI52" s="143" t="s">
        <v>771</v>
      </c>
      <c r="AJ52" s="149"/>
      <c r="AK52" s="157">
        <f t="shared" si="1"/>
        <v>288.2</v>
      </c>
      <c r="AL52" s="151"/>
    </row>
    <row r="53" spans="1:38">
      <c r="A53" s="146">
        <v>309</v>
      </c>
      <c r="B53" s="144" t="s">
        <v>841</v>
      </c>
      <c r="C53" s="143" t="s">
        <v>96</v>
      </c>
      <c r="D53" s="143" t="s">
        <v>842</v>
      </c>
      <c r="E53" s="143" t="s">
        <v>109</v>
      </c>
      <c r="F53" s="143" t="s">
        <v>9</v>
      </c>
      <c r="G53" s="143" t="s">
        <v>19</v>
      </c>
      <c r="H53" s="143" t="s">
        <v>743</v>
      </c>
      <c r="I53" s="143" t="s">
        <v>54</v>
      </c>
      <c r="J53" s="145"/>
      <c r="K53" s="154">
        <v>37.1</v>
      </c>
      <c r="L53" s="154">
        <v>27.3</v>
      </c>
      <c r="M53" s="154">
        <v>18.399999999999999</v>
      </c>
      <c r="N53" s="158" t="s">
        <v>754</v>
      </c>
      <c r="O53" s="154">
        <v>25.2</v>
      </c>
      <c r="P53" s="158" t="s">
        <v>770</v>
      </c>
      <c r="Q53" s="154">
        <v>14.7</v>
      </c>
      <c r="R53" s="154">
        <v>-4.5999999999999996</v>
      </c>
      <c r="S53" s="154">
        <v>11.9</v>
      </c>
      <c r="T53" s="154">
        <v>5.5</v>
      </c>
      <c r="U53" s="154">
        <v>34.299999999999997</v>
      </c>
      <c r="V53" s="154">
        <v>49</v>
      </c>
      <c r="W53" s="154">
        <v>2.4</v>
      </c>
      <c r="X53" s="154">
        <v>-5.2</v>
      </c>
      <c r="Y53" s="146">
        <v>-6.2</v>
      </c>
      <c r="Z53" s="154">
        <v>7.4</v>
      </c>
      <c r="AA53" s="154">
        <v>-5.0999999999999996</v>
      </c>
      <c r="AB53" s="154">
        <v>9.5</v>
      </c>
      <c r="AC53" s="154">
        <v>-2</v>
      </c>
      <c r="AD53" s="146">
        <v>-2.4</v>
      </c>
      <c r="AE53" s="154">
        <v>8</v>
      </c>
      <c r="AF53" s="154">
        <v>5.0999999999999996</v>
      </c>
      <c r="AG53" s="156">
        <v>4.9603999999999999</v>
      </c>
      <c r="AH53" s="146">
        <v>7</v>
      </c>
      <c r="AI53" s="143" t="s">
        <v>843</v>
      </c>
      <c r="AJ53" s="149"/>
      <c r="AK53" s="157">
        <f t="shared" si="1"/>
        <v>230.30000000000004</v>
      </c>
      <c r="AL53" s="151"/>
    </row>
    <row r="54" spans="1:38">
      <c r="A54" s="146">
        <v>310</v>
      </c>
      <c r="B54" s="144" t="s">
        <v>844</v>
      </c>
      <c r="C54" s="143" t="s">
        <v>96</v>
      </c>
      <c r="D54" s="143" t="s">
        <v>110</v>
      </c>
      <c r="E54" s="143" t="s">
        <v>111</v>
      </c>
      <c r="F54" s="143" t="s">
        <v>9</v>
      </c>
      <c r="G54" s="143" t="s">
        <v>10</v>
      </c>
      <c r="H54" s="143" t="s">
        <v>743</v>
      </c>
      <c r="I54" s="143" t="s">
        <v>763</v>
      </c>
      <c r="J54" s="145"/>
      <c r="K54" s="145"/>
      <c r="L54" s="153"/>
      <c r="M54" s="154">
        <v>16.600000000000001</v>
      </c>
      <c r="N54" s="158" t="s">
        <v>754</v>
      </c>
      <c r="O54" s="155">
        <v>45.8</v>
      </c>
      <c r="P54" s="154">
        <v>16</v>
      </c>
      <c r="Q54" s="154">
        <v>9</v>
      </c>
      <c r="R54" s="154">
        <v>3.8</v>
      </c>
      <c r="S54" s="154">
        <v>9</v>
      </c>
      <c r="T54" s="158" t="s">
        <v>47</v>
      </c>
      <c r="U54" s="154">
        <v>13.8</v>
      </c>
      <c r="V54" s="154">
        <v>27.3</v>
      </c>
      <c r="W54" s="154">
        <v>4.3</v>
      </c>
      <c r="X54" s="154">
        <v>-8.1999999999999993</v>
      </c>
      <c r="Y54" s="146">
        <v>11.6</v>
      </c>
      <c r="Z54" s="154">
        <v>7.4</v>
      </c>
      <c r="AA54" s="154">
        <v>0.4</v>
      </c>
      <c r="AB54" s="154">
        <v>10.7</v>
      </c>
      <c r="AC54" s="154">
        <v>-0.5</v>
      </c>
      <c r="AD54" s="146">
        <v>0.3</v>
      </c>
      <c r="AE54" s="154">
        <v>7.2</v>
      </c>
      <c r="AF54" s="154">
        <v>7</v>
      </c>
      <c r="AG54" s="156">
        <v>10.9315</v>
      </c>
      <c r="AH54" s="146">
        <v>7</v>
      </c>
      <c r="AI54" s="143" t="s">
        <v>845</v>
      </c>
      <c r="AJ54" s="149"/>
      <c r="AK54" s="157">
        <f t="shared" si="1"/>
        <v>181.50000000000003</v>
      </c>
      <c r="AL54" s="151"/>
    </row>
    <row r="55" spans="1:38">
      <c r="A55" s="146">
        <v>311</v>
      </c>
      <c r="B55" s="144" t="s">
        <v>846</v>
      </c>
      <c r="C55" s="143" t="s">
        <v>96</v>
      </c>
      <c r="D55" s="143" t="s">
        <v>112</v>
      </c>
      <c r="E55" s="143" t="s">
        <v>113</v>
      </c>
      <c r="F55" s="143" t="s">
        <v>9</v>
      </c>
      <c r="G55" s="143" t="s">
        <v>10</v>
      </c>
      <c r="H55" s="143" t="s">
        <v>743</v>
      </c>
      <c r="I55" s="143" t="s">
        <v>763</v>
      </c>
      <c r="J55" s="145"/>
      <c r="K55" s="145"/>
      <c r="L55" s="153"/>
      <c r="M55" s="154">
        <v>12.4</v>
      </c>
      <c r="N55" s="154">
        <v>-0.4</v>
      </c>
      <c r="O55" s="154">
        <v>14.1</v>
      </c>
      <c r="P55" s="154">
        <v>13.3</v>
      </c>
      <c r="Q55" s="154">
        <v>2.2999999999999998</v>
      </c>
      <c r="R55" s="154">
        <v>-2.2000000000000002</v>
      </c>
      <c r="S55" s="154">
        <v>10.199999999999999</v>
      </c>
      <c r="T55" s="154">
        <v>3.5</v>
      </c>
      <c r="U55" s="154">
        <v>12.7</v>
      </c>
      <c r="V55" s="154">
        <v>31.2</v>
      </c>
      <c r="W55" s="154">
        <v>5.2</v>
      </c>
      <c r="X55" s="154">
        <v>-7.7</v>
      </c>
      <c r="Y55" s="146">
        <v>6.6</v>
      </c>
      <c r="Z55" s="154">
        <v>5.7</v>
      </c>
      <c r="AA55" s="154">
        <v>-1.8</v>
      </c>
      <c r="AB55" s="154">
        <v>8.8000000000000007</v>
      </c>
      <c r="AC55" s="154">
        <v>-2.2000000000000002</v>
      </c>
      <c r="AD55" s="146">
        <v>-2.4</v>
      </c>
      <c r="AE55" s="154">
        <v>6.7</v>
      </c>
      <c r="AF55" s="154">
        <v>5.7</v>
      </c>
      <c r="AG55" s="156">
        <v>10.3087</v>
      </c>
      <c r="AH55" s="146">
        <v>7</v>
      </c>
      <c r="AI55" s="145"/>
      <c r="AJ55" s="149"/>
      <c r="AK55" s="157">
        <f t="shared" si="1"/>
        <v>121.7</v>
      </c>
      <c r="AL55" s="151"/>
    </row>
    <row r="56" spans="1:38">
      <c r="A56" s="146">
        <v>312</v>
      </c>
      <c r="B56" s="144" t="s">
        <v>847</v>
      </c>
      <c r="C56" s="143" t="s">
        <v>96</v>
      </c>
      <c r="D56" s="143" t="s">
        <v>848</v>
      </c>
      <c r="E56" s="143" t="s">
        <v>114</v>
      </c>
      <c r="F56" s="143" t="s">
        <v>9</v>
      </c>
      <c r="G56" s="143" t="s">
        <v>10</v>
      </c>
      <c r="H56" s="143" t="s">
        <v>743</v>
      </c>
      <c r="I56" s="143" t="s">
        <v>98</v>
      </c>
      <c r="J56" s="145"/>
      <c r="K56" s="145"/>
      <c r="L56" s="153"/>
      <c r="M56" s="154">
        <v>6.3</v>
      </c>
      <c r="N56" s="158" t="s">
        <v>754</v>
      </c>
      <c r="O56" s="155">
        <v>19.399999999999999</v>
      </c>
      <c r="P56" s="154">
        <v>9.1</v>
      </c>
      <c r="Q56" s="154">
        <v>3.5</v>
      </c>
      <c r="R56" s="154">
        <v>1.7</v>
      </c>
      <c r="S56" s="154">
        <v>6</v>
      </c>
      <c r="T56" s="154">
        <v>4.4000000000000004</v>
      </c>
      <c r="U56" s="154">
        <v>5</v>
      </c>
      <c r="V56" s="154">
        <v>11.3</v>
      </c>
      <c r="W56" s="154">
        <v>-0.5</v>
      </c>
      <c r="X56" s="154">
        <v>-10.5</v>
      </c>
      <c r="Y56" s="146">
        <v>11.6</v>
      </c>
      <c r="Z56" s="154">
        <v>5.7</v>
      </c>
      <c r="AA56" s="154">
        <v>-0.4</v>
      </c>
      <c r="AB56" s="154">
        <v>10.199999999999999</v>
      </c>
      <c r="AC56" s="154">
        <v>-0.4</v>
      </c>
      <c r="AD56" s="146">
        <v>0.2</v>
      </c>
      <c r="AE56" s="154">
        <v>6.6</v>
      </c>
      <c r="AF56" s="154">
        <v>6.5</v>
      </c>
      <c r="AG56" s="156">
        <v>11.9735</v>
      </c>
      <c r="AH56" s="146">
        <v>7</v>
      </c>
      <c r="AI56" s="145"/>
      <c r="AJ56" s="149"/>
      <c r="AK56" s="157">
        <f t="shared" si="1"/>
        <v>95.699999999999989</v>
      </c>
      <c r="AL56" s="151"/>
    </row>
    <row r="57" spans="1:38">
      <c r="A57" s="146">
        <v>313</v>
      </c>
      <c r="B57" s="144" t="s">
        <v>849</v>
      </c>
      <c r="C57" s="143" t="s">
        <v>96</v>
      </c>
      <c r="D57" s="143" t="s">
        <v>115</v>
      </c>
      <c r="E57" s="143" t="s">
        <v>116</v>
      </c>
      <c r="F57" s="143" t="s">
        <v>9</v>
      </c>
      <c r="G57" s="143" t="s">
        <v>10</v>
      </c>
      <c r="H57" s="143" t="s">
        <v>743</v>
      </c>
      <c r="I57" s="143" t="s">
        <v>54</v>
      </c>
      <c r="J57" s="145"/>
      <c r="K57" s="145"/>
      <c r="L57" s="153"/>
      <c r="M57" s="154">
        <v>16.5</v>
      </c>
      <c r="N57" s="154">
        <v>1.4</v>
      </c>
      <c r="O57" s="154">
        <v>53.8</v>
      </c>
      <c r="P57" s="154">
        <v>75.400000000000006</v>
      </c>
      <c r="Q57" s="154">
        <v>18.7</v>
      </c>
      <c r="R57" s="154">
        <v>12.3</v>
      </c>
      <c r="S57" s="154">
        <v>43.5</v>
      </c>
      <c r="T57" s="154">
        <v>51.6</v>
      </c>
      <c r="U57" s="154">
        <v>67.5</v>
      </c>
      <c r="V57" s="158" t="s">
        <v>47</v>
      </c>
      <c r="W57" s="158" t="s">
        <v>770</v>
      </c>
      <c r="X57" s="158" t="s">
        <v>756</v>
      </c>
      <c r="Y57" s="153"/>
      <c r="Z57" s="153"/>
      <c r="AA57" s="155">
        <v>47.1</v>
      </c>
      <c r="AB57" s="143" t="s">
        <v>744</v>
      </c>
      <c r="AC57" s="153"/>
      <c r="AD57" s="160">
        <v>19.5</v>
      </c>
      <c r="AE57" s="154"/>
      <c r="AF57" s="155"/>
      <c r="AG57" s="156">
        <v>6.5593000000000004</v>
      </c>
      <c r="AH57" s="146">
        <v>5</v>
      </c>
      <c r="AI57" s="143" t="s">
        <v>850</v>
      </c>
      <c r="AJ57" s="149"/>
      <c r="AK57" s="157">
        <f t="shared" si="1"/>
        <v>407.3</v>
      </c>
      <c r="AL57" s="151"/>
    </row>
    <row r="58" spans="1:38">
      <c r="A58" s="146">
        <v>314</v>
      </c>
      <c r="B58" s="144" t="s">
        <v>851</v>
      </c>
      <c r="C58" s="143" t="s">
        <v>96</v>
      </c>
      <c r="D58" s="143" t="s">
        <v>852</v>
      </c>
      <c r="E58" s="143" t="s">
        <v>853</v>
      </c>
      <c r="F58" s="143" t="s">
        <v>9</v>
      </c>
      <c r="G58" s="143" t="s">
        <v>31</v>
      </c>
      <c r="H58" s="143" t="s">
        <v>743</v>
      </c>
      <c r="I58" s="143" t="s">
        <v>54</v>
      </c>
      <c r="J58" s="145"/>
      <c r="K58" s="145"/>
      <c r="L58" s="153"/>
      <c r="M58" s="153"/>
      <c r="N58" s="153"/>
      <c r="O58" s="153"/>
      <c r="P58" s="154">
        <v>15.5</v>
      </c>
      <c r="Q58" s="154">
        <v>37.299999999999997</v>
      </c>
      <c r="R58" s="154">
        <v>15.5</v>
      </c>
      <c r="S58" s="154">
        <v>36</v>
      </c>
      <c r="T58" s="154">
        <v>22.6</v>
      </c>
      <c r="U58" s="154">
        <v>45.6</v>
      </c>
      <c r="V58" s="158" t="s">
        <v>775</v>
      </c>
      <c r="W58" s="153"/>
      <c r="X58" s="153"/>
      <c r="Y58" s="153"/>
      <c r="Z58" s="153"/>
      <c r="AA58" s="155">
        <v>155.5</v>
      </c>
      <c r="AB58" s="143" t="s">
        <v>744</v>
      </c>
      <c r="AC58" s="153"/>
      <c r="AD58" s="160">
        <v>20.5</v>
      </c>
      <c r="AE58" s="154"/>
      <c r="AF58" s="155"/>
      <c r="AG58" s="156">
        <v>4.6128999999999998</v>
      </c>
      <c r="AH58" s="146">
        <v>5</v>
      </c>
      <c r="AI58" s="145"/>
      <c r="AJ58" s="149"/>
      <c r="AK58" s="157">
        <f t="shared" si="1"/>
        <v>348.5</v>
      </c>
      <c r="AL58" s="151"/>
    </row>
    <row r="59" spans="1:38">
      <c r="A59" s="146">
        <v>315</v>
      </c>
      <c r="B59" s="144" t="s">
        <v>854</v>
      </c>
      <c r="C59" s="143" t="s">
        <v>96</v>
      </c>
      <c r="D59" s="143" t="s">
        <v>117</v>
      </c>
      <c r="E59" s="143" t="s">
        <v>118</v>
      </c>
      <c r="F59" s="143" t="s">
        <v>9</v>
      </c>
      <c r="G59" s="143" t="s">
        <v>31</v>
      </c>
      <c r="H59" s="143" t="s">
        <v>64</v>
      </c>
      <c r="I59" s="143" t="s">
        <v>763</v>
      </c>
      <c r="J59" s="145"/>
      <c r="K59" s="145"/>
      <c r="L59" s="153"/>
      <c r="M59" s="153"/>
      <c r="N59" s="153"/>
      <c r="O59" s="153"/>
      <c r="P59" s="154">
        <v>16.899999999999999</v>
      </c>
      <c r="Q59" s="154">
        <v>3.7</v>
      </c>
      <c r="R59" s="154">
        <v>-6.9</v>
      </c>
      <c r="S59" s="154">
        <v>5.3</v>
      </c>
      <c r="T59" s="154">
        <v>-1</v>
      </c>
      <c r="U59" s="154">
        <v>4.7</v>
      </c>
      <c r="V59" s="158" t="s">
        <v>775</v>
      </c>
      <c r="W59" s="153"/>
      <c r="X59" s="153"/>
      <c r="Y59" s="153"/>
      <c r="Z59" s="153"/>
      <c r="AA59" s="155">
        <v>54.9</v>
      </c>
      <c r="AB59" s="143" t="s">
        <v>744</v>
      </c>
      <c r="AC59" s="153"/>
      <c r="AD59" s="160">
        <v>13.4</v>
      </c>
      <c r="AE59" s="154"/>
      <c r="AF59" s="155"/>
      <c r="AG59" s="156">
        <v>4.2617000000000003</v>
      </c>
      <c r="AH59" s="146">
        <v>5</v>
      </c>
      <c r="AI59" s="143" t="s">
        <v>855</v>
      </c>
      <c r="AJ59" s="149"/>
      <c r="AK59" s="157">
        <f t="shared" si="1"/>
        <v>91</v>
      </c>
      <c r="AL59" s="151"/>
    </row>
    <row r="60" spans="1:38">
      <c r="A60" s="146">
        <v>316</v>
      </c>
      <c r="B60" s="144" t="s">
        <v>856</v>
      </c>
      <c r="C60" s="143" t="s">
        <v>96</v>
      </c>
      <c r="D60" s="143" t="s">
        <v>857</v>
      </c>
      <c r="E60" s="143" t="s">
        <v>858</v>
      </c>
      <c r="F60" s="143" t="s">
        <v>9</v>
      </c>
      <c r="G60" s="143" t="s">
        <v>31</v>
      </c>
      <c r="H60" s="143" t="s">
        <v>64</v>
      </c>
      <c r="I60" s="143" t="s">
        <v>763</v>
      </c>
      <c r="J60" s="145"/>
      <c r="K60" s="145"/>
      <c r="L60" s="153"/>
      <c r="M60" s="153"/>
      <c r="N60" s="153"/>
      <c r="O60" s="153"/>
      <c r="P60" s="154">
        <v>43.2</v>
      </c>
      <c r="Q60" s="154">
        <v>26.8</v>
      </c>
      <c r="R60" s="154">
        <v>-6.4</v>
      </c>
      <c r="S60" s="154">
        <v>17.399999999999999</v>
      </c>
      <c r="T60" s="154">
        <v>14.1</v>
      </c>
      <c r="U60" s="158" t="s">
        <v>770</v>
      </c>
      <c r="V60" s="145"/>
      <c r="W60" s="153"/>
      <c r="X60" s="153"/>
      <c r="Y60" s="161" t="s">
        <v>20</v>
      </c>
      <c r="Z60" s="153"/>
      <c r="AA60" s="153"/>
      <c r="AB60" s="153"/>
      <c r="AC60" s="153"/>
      <c r="AD60" s="153"/>
      <c r="AE60" s="155"/>
      <c r="AF60" s="155"/>
      <c r="AG60" s="156">
        <v>4.1510999999999996</v>
      </c>
      <c r="AH60" s="146">
        <v>59</v>
      </c>
      <c r="AI60" s="143" t="s">
        <v>859</v>
      </c>
      <c r="AJ60" s="149"/>
      <c r="AK60" s="157">
        <f t="shared" si="1"/>
        <v>95.1</v>
      </c>
      <c r="AL60" s="151"/>
    </row>
    <row r="61" spans="1:38">
      <c r="A61" s="146">
        <v>317</v>
      </c>
      <c r="B61" s="144" t="s">
        <v>860</v>
      </c>
      <c r="C61" s="143" t="s">
        <v>96</v>
      </c>
      <c r="D61" s="143" t="s">
        <v>861</v>
      </c>
      <c r="E61" s="143" t="s">
        <v>119</v>
      </c>
      <c r="F61" s="143" t="s">
        <v>12</v>
      </c>
      <c r="G61" s="143" t="s">
        <v>10</v>
      </c>
      <c r="H61" s="143" t="s">
        <v>743</v>
      </c>
      <c r="I61" s="143" t="s">
        <v>763</v>
      </c>
      <c r="J61" s="145"/>
      <c r="K61" s="145"/>
      <c r="L61" s="153"/>
      <c r="M61" s="154">
        <v>11.4</v>
      </c>
      <c r="N61" s="158" t="s">
        <v>754</v>
      </c>
      <c r="O61" s="155">
        <v>5.3</v>
      </c>
      <c r="P61" s="154">
        <v>12.8</v>
      </c>
      <c r="Q61" s="154">
        <v>2.7</v>
      </c>
      <c r="R61" s="154">
        <v>2.4</v>
      </c>
      <c r="S61" s="154">
        <v>10.8</v>
      </c>
      <c r="T61" s="154">
        <v>3.2</v>
      </c>
      <c r="U61" s="154">
        <v>5.5</v>
      </c>
      <c r="V61" s="154">
        <v>14</v>
      </c>
      <c r="W61" s="154">
        <v>0.3</v>
      </c>
      <c r="X61" s="158" t="s">
        <v>756</v>
      </c>
      <c r="Y61" s="153"/>
      <c r="Z61" s="153"/>
      <c r="AA61" s="155">
        <v>17.600000000000001</v>
      </c>
      <c r="AB61" s="143" t="s">
        <v>744</v>
      </c>
      <c r="AC61" s="153"/>
      <c r="AD61" s="160">
        <v>7.7</v>
      </c>
      <c r="AE61" s="154"/>
      <c r="AF61" s="155"/>
      <c r="AG61" s="156">
        <v>11.296200000000001</v>
      </c>
      <c r="AH61" s="146">
        <v>5</v>
      </c>
      <c r="AI61" s="145"/>
      <c r="AJ61" s="149"/>
      <c r="AK61" s="157">
        <f t="shared" si="1"/>
        <v>93.7</v>
      </c>
      <c r="AL61" s="151"/>
    </row>
    <row r="62" spans="1:38">
      <c r="A62" s="146">
        <v>318</v>
      </c>
      <c r="B62" s="144" t="s">
        <v>862</v>
      </c>
      <c r="C62" s="143" t="s">
        <v>96</v>
      </c>
      <c r="D62" s="143" t="s">
        <v>863</v>
      </c>
      <c r="E62" s="143" t="s">
        <v>864</v>
      </c>
      <c r="F62" s="143" t="s">
        <v>12</v>
      </c>
      <c r="G62" s="143" t="s">
        <v>10</v>
      </c>
      <c r="H62" s="143" t="s">
        <v>64</v>
      </c>
      <c r="I62" s="143" t="s">
        <v>763</v>
      </c>
      <c r="J62" s="145"/>
      <c r="K62" s="145"/>
      <c r="L62" s="153"/>
      <c r="M62" s="154">
        <v>17.7</v>
      </c>
      <c r="N62" s="154">
        <v>-6</v>
      </c>
      <c r="O62" s="154">
        <v>20.7</v>
      </c>
      <c r="P62" s="154">
        <v>15.5</v>
      </c>
      <c r="Q62" s="154">
        <v>-0.8</v>
      </c>
      <c r="R62" s="154">
        <v>5.6</v>
      </c>
      <c r="S62" s="154">
        <v>14</v>
      </c>
      <c r="T62" s="154">
        <v>9</v>
      </c>
      <c r="U62" s="154">
        <v>10.7</v>
      </c>
      <c r="V62" s="154">
        <v>19.5</v>
      </c>
      <c r="W62" s="154">
        <v>2</v>
      </c>
      <c r="X62" s="145"/>
      <c r="Y62" s="153"/>
      <c r="Z62" s="153"/>
      <c r="AA62" s="153"/>
      <c r="AB62" s="153"/>
      <c r="AC62" s="153"/>
      <c r="AD62" s="153"/>
      <c r="AE62" s="155"/>
      <c r="AF62" s="155"/>
      <c r="AG62" s="156">
        <v>10.0044</v>
      </c>
      <c r="AH62" s="146">
        <v>61</v>
      </c>
      <c r="AI62" s="145"/>
      <c r="AJ62" s="149"/>
      <c r="AK62" s="157">
        <f t="shared" si="1"/>
        <v>107.9</v>
      </c>
      <c r="AL62" s="151"/>
    </row>
    <row r="63" spans="1:38">
      <c r="A63" s="146">
        <v>319</v>
      </c>
      <c r="B63" s="144" t="s">
        <v>865</v>
      </c>
      <c r="C63" s="143" t="s">
        <v>96</v>
      </c>
      <c r="D63" s="143" t="s">
        <v>121</v>
      </c>
      <c r="E63" s="143" t="s">
        <v>122</v>
      </c>
      <c r="F63" s="143" t="s">
        <v>12</v>
      </c>
      <c r="G63" s="143" t="s">
        <v>31</v>
      </c>
      <c r="H63" s="143" t="s">
        <v>64</v>
      </c>
      <c r="I63" s="143" t="s">
        <v>763</v>
      </c>
      <c r="J63" s="145"/>
      <c r="K63" s="145"/>
      <c r="L63" s="153"/>
      <c r="M63" s="153"/>
      <c r="N63" s="153"/>
      <c r="O63" s="153"/>
      <c r="P63" s="154">
        <v>16.600000000000001</v>
      </c>
      <c r="Q63" s="154">
        <v>4.5999999999999996</v>
      </c>
      <c r="R63" s="154">
        <v>5.0999999999999996</v>
      </c>
      <c r="S63" s="154">
        <v>16.2</v>
      </c>
      <c r="T63" s="158" t="s">
        <v>754</v>
      </c>
      <c r="U63" s="155">
        <v>14.4</v>
      </c>
      <c r="V63" s="145"/>
      <c r="W63" s="153"/>
      <c r="X63" s="153"/>
      <c r="Y63" s="153"/>
      <c r="Z63" s="153"/>
      <c r="AA63" s="153"/>
      <c r="AB63" s="153"/>
      <c r="AC63" s="153"/>
      <c r="AD63" s="153"/>
      <c r="AE63" s="155"/>
      <c r="AF63" s="155"/>
      <c r="AG63" s="156">
        <v>9.5951000000000004</v>
      </c>
      <c r="AH63" s="146">
        <v>59</v>
      </c>
      <c r="AI63" s="145"/>
      <c r="AJ63" s="149"/>
      <c r="AK63" s="157">
        <f t="shared" si="1"/>
        <v>56.9</v>
      </c>
      <c r="AL63" s="151"/>
    </row>
    <row r="64" spans="1:38">
      <c r="A64" s="146">
        <v>320</v>
      </c>
      <c r="B64" s="144" t="s">
        <v>866</v>
      </c>
      <c r="C64" s="143" t="s">
        <v>96</v>
      </c>
      <c r="D64" s="143" t="s">
        <v>867</v>
      </c>
      <c r="E64" s="143" t="s">
        <v>123</v>
      </c>
      <c r="F64" s="143" t="s">
        <v>9</v>
      </c>
      <c r="G64" s="143" t="s">
        <v>10</v>
      </c>
      <c r="H64" s="143" t="s">
        <v>64</v>
      </c>
      <c r="I64" s="143" t="s">
        <v>763</v>
      </c>
      <c r="J64" s="145"/>
      <c r="K64" s="145"/>
      <c r="L64" s="153"/>
      <c r="M64" s="154">
        <v>12</v>
      </c>
      <c r="N64" s="158" t="s">
        <v>754</v>
      </c>
      <c r="O64" s="155">
        <v>19.2</v>
      </c>
      <c r="P64" s="154">
        <v>23.1</v>
      </c>
      <c r="Q64" s="154">
        <v>3.4</v>
      </c>
      <c r="R64" s="154">
        <v>2.1</v>
      </c>
      <c r="S64" s="154">
        <v>17.399999999999999</v>
      </c>
      <c r="T64" s="154">
        <v>-0.6</v>
      </c>
      <c r="U64" s="154">
        <v>18.399999999999999</v>
      </c>
      <c r="V64" s="154">
        <v>35.4</v>
      </c>
      <c r="W64" s="154">
        <v>10.6</v>
      </c>
      <c r="X64" s="158" t="s">
        <v>756</v>
      </c>
      <c r="Y64" s="153"/>
      <c r="Z64" s="153"/>
      <c r="AA64" s="155">
        <v>18.399999999999999</v>
      </c>
      <c r="AB64" s="143" t="s">
        <v>744</v>
      </c>
      <c r="AC64" s="153"/>
      <c r="AD64" s="160">
        <v>9.1999999999999993</v>
      </c>
      <c r="AE64" s="154"/>
      <c r="AF64" s="155"/>
      <c r="AG64" s="156">
        <v>7.4431000000000003</v>
      </c>
      <c r="AH64" s="146">
        <v>5</v>
      </c>
      <c r="AI64" s="145"/>
      <c r="AJ64" s="149"/>
      <c r="AK64" s="157">
        <f t="shared" si="1"/>
        <v>168.6</v>
      </c>
      <c r="AL64" s="151"/>
    </row>
    <row r="65" spans="1:38">
      <c r="A65" s="146">
        <v>321</v>
      </c>
      <c r="B65" s="144" t="s">
        <v>868</v>
      </c>
      <c r="C65" s="143" t="s">
        <v>96</v>
      </c>
      <c r="D65" s="143" t="s">
        <v>124</v>
      </c>
      <c r="E65" s="143" t="s">
        <v>125</v>
      </c>
      <c r="F65" s="143" t="s">
        <v>9</v>
      </c>
      <c r="G65" s="143" t="s">
        <v>31</v>
      </c>
      <c r="H65" s="143" t="s">
        <v>64</v>
      </c>
      <c r="I65" s="143" t="s">
        <v>763</v>
      </c>
      <c r="J65" s="145"/>
      <c r="K65" s="145"/>
      <c r="L65" s="153"/>
      <c r="M65" s="153"/>
      <c r="N65" s="153"/>
      <c r="O65" s="153"/>
      <c r="P65" s="154">
        <v>21.7</v>
      </c>
      <c r="Q65" s="154">
        <v>7</v>
      </c>
      <c r="R65" s="154">
        <v>-1</v>
      </c>
      <c r="S65" s="154">
        <v>15.1</v>
      </c>
      <c r="T65" s="154">
        <v>-3.2</v>
      </c>
      <c r="U65" s="154">
        <v>25.2</v>
      </c>
      <c r="V65" s="158" t="s">
        <v>770</v>
      </c>
      <c r="W65" s="154">
        <v>14.8</v>
      </c>
      <c r="X65" s="154">
        <v>-2.2999999999999998</v>
      </c>
      <c r="Y65" s="146">
        <v>5.8</v>
      </c>
      <c r="Z65" s="154">
        <v>8.1999999999999993</v>
      </c>
      <c r="AA65" s="154">
        <v>-2.2999999999999998</v>
      </c>
      <c r="AB65" s="154">
        <v>9</v>
      </c>
      <c r="AC65" s="154">
        <v>-0.6</v>
      </c>
      <c r="AD65" s="154">
        <v>-2</v>
      </c>
      <c r="AE65" s="154">
        <v>6.3</v>
      </c>
      <c r="AF65" s="154">
        <v>6.1</v>
      </c>
      <c r="AG65" s="156">
        <v>8.3383000000000003</v>
      </c>
      <c r="AH65" s="146">
        <v>7</v>
      </c>
      <c r="AI65" s="143" t="s">
        <v>771</v>
      </c>
      <c r="AJ65" s="149"/>
      <c r="AK65" s="157">
        <f t="shared" si="1"/>
        <v>107.8</v>
      </c>
      <c r="AL65" s="151"/>
    </row>
    <row r="66" spans="1:38">
      <c r="A66" s="146">
        <v>322</v>
      </c>
      <c r="B66" s="144" t="s">
        <v>869</v>
      </c>
      <c r="C66" s="143" t="s">
        <v>96</v>
      </c>
      <c r="D66" s="143" t="s">
        <v>870</v>
      </c>
      <c r="E66" s="143" t="s">
        <v>126</v>
      </c>
      <c r="F66" s="143" t="s">
        <v>9</v>
      </c>
      <c r="G66" s="143" t="s">
        <v>127</v>
      </c>
      <c r="H66" s="143" t="s">
        <v>64</v>
      </c>
      <c r="I66" s="143" t="s">
        <v>54</v>
      </c>
      <c r="J66" s="145"/>
      <c r="K66" s="145"/>
      <c r="L66" s="153"/>
      <c r="M66" s="153"/>
      <c r="N66" s="153"/>
      <c r="O66" s="153"/>
      <c r="P66" s="153"/>
      <c r="Q66" s="154">
        <v>11.9</v>
      </c>
      <c r="R66" s="154">
        <v>1.9</v>
      </c>
      <c r="S66" s="154">
        <v>19.8</v>
      </c>
      <c r="T66" s="154">
        <v>-3.5</v>
      </c>
      <c r="U66" s="154">
        <v>49.9</v>
      </c>
      <c r="V66" s="154">
        <v>28.7</v>
      </c>
      <c r="W66" s="154">
        <v>28.6</v>
      </c>
      <c r="X66" s="158" t="s">
        <v>756</v>
      </c>
      <c r="Y66" s="153"/>
      <c r="Z66" s="153"/>
      <c r="AA66" s="155">
        <v>86.3</v>
      </c>
      <c r="AB66" s="143" t="s">
        <v>744</v>
      </c>
      <c r="AC66" s="153"/>
      <c r="AD66" s="161" t="s">
        <v>770</v>
      </c>
      <c r="AE66" s="154"/>
      <c r="AF66" s="155"/>
      <c r="AG66" s="156">
        <v>3.8996</v>
      </c>
      <c r="AH66" s="146">
        <v>5</v>
      </c>
      <c r="AI66" s="143" t="s">
        <v>871</v>
      </c>
      <c r="AJ66" s="149"/>
      <c r="AK66" s="157">
        <f t="shared" si="1"/>
        <v>223.60000000000002</v>
      </c>
      <c r="AL66" s="151"/>
    </row>
    <row r="67" spans="1:38">
      <c r="A67" s="146">
        <v>323</v>
      </c>
      <c r="B67" s="144" t="s">
        <v>872</v>
      </c>
      <c r="C67" s="143" t="s">
        <v>96</v>
      </c>
      <c r="D67" s="143" t="s">
        <v>873</v>
      </c>
      <c r="E67" s="143" t="s">
        <v>128</v>
      </c>
      <c r="F67" s="143" t="s">
        <v>9</v>
      </c>
      <c r="G67" s="143" t="s">
        <v>31</v>
      </c>
      <c r="H67" s="143" t="s">
        <v>743</v>
      </c>
      <c r="I67" s="143" t="s">
        <v>763</v>
      </c>
      <c r="J67" s="145"/>
      <c r="K67" s="145"/>
      <c r="L67" s="153"/>
      <c r="M67" s="153"/>
      <c r="N67" s="153"/>
      <c r="O67" s="153"/>
      <c r="P67" s="154">
        <v>60.7</v>
      </c>
      <c r="Q67" s="154">
        <v>0.9</v>
      </c>
      <c r="R67" s="154">
        <v>-1.5</v>
      </c>
      <c r="S67" s="154">
        <v>21.8</v>
      </c>
      <c r="T67" s="154">
        <v>-1</v>
      </c>
      <c r="U67" s="154">
        <v>14.3</v>
      </c>
      <c r="V67" s="158" t="s">
        <v>775</v>
      </c>
      <c r="W67" s="153"/>
      <c r="X67" s="153"/>
      <c r="Y67" s="153"/>
      <c r="Z67" s="153"/>
      <c r="AA67" s="155">
        <v>29.9</v>
      </c>
      <c r="AB67" s="143" t="s">
        <v>744</v>
      </c>
      <c r="AC67" s="153"/>
      <c r="AD67" s="160">
        <v>2.1</v>
      </c>
      <c r="AE67" s="154"/>
      <c r="AF67" s="155"/>
      <c r="AG67" s="156">
        <v>3.5076000000000001</v>
      </c>
      <c r="AH67" s="146">
        <v>5</v>
      </c>
      <c r="AI67" s="145"/>
      <c r="AJ67" s="149"/>
      <c r="AK67" s="157">
        <f t="shared" si="1"/>
        <v>127.19999999999999</v>
      </c>
      <c r="AL67" s="151"/>
    </row>
    <row r="68" spans="1:38">
      <c r="A68" s="146">
        <v>324</v>
      </c>
      <c r="B68" s="144" t="s">
        <v>874</v>
      </c>
      <c r="C68" s="143" t="s">
        <v>96</v>
      </c>
      <c r="D68" s="143" t="s">
        <v>875</v>
      </c>
      <c r="E68" s="143" t="s">
        <v>876</v>
      </c>
      <c r="F68" s="143" t="s">
        <v>9</v>
      </c>
      <c r="G68" s="143" t="s">
        <v>31</v>
      </c>
      <c r="H68" s="143" t="s">
        <v>64</v>
      </c>
      <c r="I68" s="143" t="s">
        <v>54</v>
      </c>
      <c r="J68" s="145"/>
      <c r="K68" s="145"/>
      <c r="L68" s="153"/>
      <c r="M68" s="153"/>
      <c r="N68" s="153"/>
      <c r="O68" s="153"/>
      <c r="P68" s="154">
        <v>22.2</v>
      </c>
      <c r="Q68" s="154">
        <v>2.8</v>
      </c>
      <c r="R68" s="154">
        <v>-4.5999999999999996</v>
      </c>
      <c r="S68" s="154">
        <v>31.2</v>
      </c>
      <c r="T68" s="145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5"/>
      <c r="AF68" s="155"/>
      <c r="AG68" s="156">
        <v>5.3414000000000001</v>
      </c>
      <c r="AH68" s="146">
        <v>57</v>
      </c>
      <c r="AI68" s="145"/>
      <c r="AJ68" s="149"/>
      <c r="AK68" s="157">
        <f t="shared" si="1"/>
        <v>51.599999999999994</v>
      </c>
      <c r="AL68" s="151"/>
    </row>
    <row r="69" spans="1:38">
      <c r="A69" s="146">
        <v>325</v>
      </c>
      <c r="B69" s="144" t="s">
        <v>877</v>
      </c>
      <c r="C69" s="143" t="s">
        <v>96</v>
      </c>
      <c r="D69" s="143" t="s">
        <v>129</v>
      </c>
      <c r="E69" s="143" t="s">
        <v>130</v>
      </c>
      <c r="F69" s="143" t="s">
        <v>9</v>
      </c>
      <c r="G69" s="143" t="s">
        <v>31</v>
      </c>
      <c r="H69" s="143" t="s">
        <v>64</v>
      </c>
      <c r="I69" s="143" t="s">
        <v>763</v>
      </c>
      <c r="J69" s="145"/>
      <c r="K69" s="145"/>
      <c r="L69" s="153"/>
      <c r="M69" s="153"/>
      <c r="N69" s="153"/>
      <c r="O69" s="153"/>
      <c r="P69" s="154">
        <v>16.100000000000001</v>
      </c>
      <c r="Q69" s="154">
        <v>0.3</v>
      </c>
      <c r="R69" s="154">
        <v>-9.6999999999999993</v>
      </c>
      <c r="S69" s="154">
        <v>6.9</v>
      </c>
      <c r="T69" s="145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5"/>
      <c r="AF69" s="155"/>
      <c r="AG69" s="156">
        <v>4.8582999999999998</v>
      </c>
      <c r="AH69" s="146">
        <v>57</v>
      </c>
      <c r="AI69" s="145"/>
      <c r="AJ69" s="149"/>
      <c r="AK69" s="157">
        <f t="shared" si="1"/>
        <v>13.600000000000003</v>
      </c>
      <c r="AL69" s="151"/>
    </row>
    <row r="70" spans="1:38">
      <c r="A70" s="146">
        <v>326</v>
      </c>
      <c r="B70" s="144" t="s">
        <v>878</v>
      </c>
      <c r="C70" s="143" t="s">
        <v>96</v>
      </c>
      <c r="D70" s="143" t="s">
        <v>879</v>
      </c>
      <c r="E70" s="143" t="s">
        <v>131</v>
      </c>
      <c r="F70" s="143" t="s">
        <v>9</v>
      </c>
      <c r="G70" s="143" t="s">
        <v>31</v>
      </c>
      <c r="H70" s="143" t="s">
        <v>64</v>
      </c>
      <c r="I70" s="143" t="s">
        <v>54</v>
      </c>
      <c r="J70" s="145"/>
      <c r="K70" s="145"/>
      <c r="L70" s="153"/>
      <c r="M70" s="153"/>
      <c r="N70" s="153"/>
      <c r="O70" s="153"/>
      <c r="P70" s="154">
        <v>24.7</v>
      </c>
      <c r="Q70" s="154">
        <v>4.5999999999999996</v>
      </c>
      <c r="R70" s="154">
        <v>1.8</v>
      </c>
      <c r="S70" s="154">
        <v>11.7</v>
      </c>
      <c r="T70" s="145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5"/>
      <c r="AF70" s="155"/>
      <c r="AG70" s="156">
        <v>4.3139000000000003</v>
      </c>
      <c r="AH70" s="146">
        <v>57</v>
      </c>
      <c r="AI70" s="145"/>
      <c r="AJ70" s="149"/>
      <c r="AK70" s="157">
        <f t="shared" si="1"/>
        <v>42.8</v>
      </c>
      <c r="AL70" s="151"/>
    </row>
    <row r="71" spans="1:38">
      <c r="A71" s="146">
        <v>327</v>
      </c>
      <c r="B71" s="144" t="s">
        <v>880</v>
      </c>
      <c r="C71" s="143" t="s">
        <v>96</v>
      </c>
      <c r="D71" s="143" t="s">
        <v>881</v>
      </c>
      <c r="E71" s="143" t="s">
        <v>882</v>
      </c>
      <c r="F71" s="143" t="s">
        <v>9</v>
      </c>
      <c r="G71" s="143" t="s">
        <v>31</v>
      </c>
      <c r="H71" s="143" t="s">
        <v>64</v>
      </c>
      <c r="I71" s="143" t="s">
        <v>54</v>
      </c>
      <c r="J71" s="145"/>
      <c r="K71" s="145"/>
      <c r="L71" s="153"/>
      <c r="M71" s="153"/>
      <c r="N71" s="153"/>
      <c r="O71" s="153"/>
      <c r="P71" s="154">
        <v>20.2</v>
      </c>
      <c r="Q71" s="154">
        <v>3.1</v>
      </c>
      <c r="R71" s="154">
        <v>-2</v>
      </c>
      <c r="S71" s="154">
        <v>9</v>
      </c>
      <c r="T71" s="154">
        <v>-3.4</v>
      </c>
      <c r="U71" s="154">
        <v>20.8</v>
      </c>
      <c r="V71" s="145"/>
      <c r="W71" s="153"/>
      <c r="X71" s="153"/>
      <c r="Y71" s="153"/>
      <c r="Z71" s="153"/>
      <c r="AA71" s="153"/>
      <c r="AB71" s="153"/>
      <c r="AC71" s="153"/>
      <c r="AD71" s="153"/>
      <c r="AE71" s="155"/>
      <c r="AF71" s="155"/>
      <c r="AG71" s="156">
        <v>3.8841999999999999</v>
      </c>
      <c r="AH71" s="146">
        <v>59</v>
      </c>
      <c r="AI71" s="145"/>
      <c r="AJ71" s="149"/>
      <c r="AK71" s="157">
        <f t="shared" si="1"/>
        <v>47.7</v>
      </c>
      <c r="AL71" s="151"/>
    </row>
    <row r="72" spans="1:38">
      <c r="A72" s="146">
        <v>401</v>
      </c>
      <c r="B72" s="144" t="s">
        <v>883</v>
      </c>
      <c r="C72" s="143" t="s">
        <v>132</v>
      </c>
      <c r="D72" s="143" t="s">
        <v>133</v>
      </c>
      <c r="E72" s="143" t="s">
        <v>134</v>
      </c>
      <c r="F72" s="143" t="s">
        <v>9</v>
      </c>
      <c r="G72" s="143" t="s">
        <v>10</v>
      </c>
      <c r="H72" s="143" t="s">
        <v>743</v>
      </c>
      <c r="I72" s="143" t="s">
        <v>98</v>
      </c>
      <c r="J72" s="145"/>
      <c r="K72" s="145"/>
      <c r="L72" s="153"/>
      <c r="M72" s="154">
        <v>-0.9</v>
      </c>
      <c r="N72" s="154">
        <v>-2</v>
      </c>
      <c r="O72" s="154">
        <v>14.6</v>
      </c>
      <c r="P72" s="154">
        <v>5.9</v>
      </c>
      <c r="Q72" s="154">
        <v>1.1000000000000001</v>
      </c>
      <c r="R72" s="154">
        <v>-1.6</v>
      </c>
      <c r="S72" s="154">
        <v>2.8</v>
      </c>
      <c r="T72" s="154">
        <v>1.7</v>
      </c>
      <c r="U72" s="154">
        <v>2</v>
      </c>
      <c r="V72" s="158" t="s">
        <v>754</v>
      </c>
      <c r="W72" s="155">
        <v>11.6</v>
      </c>
      <c r="X72" s="158" t="s">
        <v>756</v>
      </c>
      <c r="Y72" s="153"/>
      <c r="Z72" s="153"/>
      <c r="AA72" s="155">
        <v>4</v>
      </c>
      <c r="AB72" s="143" t="s">
        <v>744</v>
      </c>
      <c r="AC72" s="153"/>
      <c r="AD72" s="160">
        <v>4.3</v>
      </c>
      <c r="AE72" s="154"/>
      <c r="AF72" s="155"/>
      <c r="AG72" s="156">
        <v>14.6998</v>
      </c>
      <c r="AH72" s="146">
        <v>5</v>
      </c>
      <c r="AI72" s="145"/>
      <c r="AJ72" s="149"/>
      <c r="AK72" s="157">
        <f t="shared" si="1"/>
        <v>43.5</v>
      </c>
      <c r="AL72" s="151"/>
    </row>
    <row r="73" spans="1:38">
      <c r="A73" s="146">
        <v>402</v>
      </c>
      <c r="B73" s="144" t="s">
        <v>884</v>
      </c>
      <c r="C73" s="143" t="s">
        <v>132</v>
      </c>
      <c r="D73" s="143" t="s">
        <v>135</v>
      </c>
      <c r="E73" s="143" t="s">
        <v>136</v>
      </c>
      <c r="F73" s="143" t="s">
        <v>12</v>
      </c>
      <c r="G73" s="143" t="s">
        <v>73</v>
      </c>
      <c r="H73" s="143" t="s">
        <v>743</v>
      </c>
      <c r="I73" s="143" t="s">
        <v>98</v>
      </c>
      <c r="J73" s="145"/>
      <c r="K73" s="145"/>
      <c r="L73" s="153"/>
      <c r="M73" s="153"/>
      <c r="N73" s="158" t="s">
        <v>754</v>
      </c>
      <c r="O73" s="155">
        <v>12.3</v>
      </c>
      <c r="P73" s="154">
        <v>4.7</v>
      </c>
      <c r="Q73" s="154">
        <v>2.2000000000000002</v>
      </c>
      <c r="R73" s="154">
        <v>-1.6</v>
      </c>
      <c r="S73" s="154">
        <v>4.0999999999999996</v>
      </c>
      <c r="T73" s="154">
        <v>0.7</v>
      </c>
      <c r="U73" s="154">
        <v>-0.3</v>
      </c>
      <c r="V73" s="158" t="s">
        <v>754</v>
      </c>
      <c r="W73" s="155">
        <v>8.3000000000000007</v>
      </c>
      <c r="X73" s="158" t="s">
        <v>756</v>
      </c>
      <c r="Y73" s="153"/>
      <c r="Z73" s="153"/>
      <c r="AA73" s="155">
        <v>6.4</v>
      </c>
      <c r="AB73" s="143" t="s">
        <v>744</v>
      </c>
      <c r="AC73" s="153"/>
      <c r="AD73" s="160">
        <v>6.2</v>
      </c>
      <c r="AE73" s="154"/>
      <c r="AF73" s="155"/>
      <c r="AG73" s="156">
        <v>20.8414</v>
      </c>
      <c r="AH73" s="146">
        <v>5</v>
      </c>
      <c r="AI73" s="145"/>
      <c r="AJ73" s="149"/>
      <c r="AK73" s="157">
        <f t="shared" si="1"/>
        <v>43</v>
      </c>
      <c r="AL73" s="151"/>
    </row>
    <row r="74" spans="1:38">
      <c r="A74" s="146">
        <v>403</v>
      </c>
      <c r="B74" s="144" t="s">
        <v>885</v>
      </c>
      <c r="C74" s="143" t="s">
        <v>132</v>
      </c>
      <c r="D74" s="143" t="s">
        <v>137</v>
      </c>
      <c r="E74" s="143" t="s">
        <v>138</v>
      </c>
      <c r="F74" s="143" t="s">
        <v>9</v>
      </c>
      <c r="G74" s="143" t="s">
        <v>10</v>
      </c>
      <c r="H74" s="143" t="s">
        <v>743</v>
      </c>
      <c r="I74" s="143" t="s">
        <v>98</v>
      </c>
      <c r="J74" s="145"/>
      <c r="K74" s="145"/>
      <c r="L74" s="153"/>
      <c r="M74" s="158" t="s">
        <v>744</v>
      </c>
      <c r="N74" s="153"/>
      <c r="O74" s="155">
        <v>5.6</v>
      </c>
      <c r="P74" s="154">
        <v>6.8</v>
      </c>
      <c r="Q74" s="154">
        <v>0.4</v>
      </c>
      <c r="R74" s="158" t="s">
        <v>754</v>
      </c>
      <c r="S74" s="155">
        <v>2.4</v>
      </c>
      <c r="T74" s="158" t="s">
        <v>756</v>
      </c>
      <c r="U74" s="153"/>
      <c r="V74" s="153"/>
      <c r="W74" s="155">
        <v>9.1</v>
      </c>
      <c r="X74" s="158" t="s">
        <v>756</v>
      </c>
      <c r="Y74" s="153"/>
      <c r="Z74" s="153"/>
      <c r="AA74" s="155">
        <v>10.5</v>
      </c>
      <c r="AB74" s="143" t="s">
        <v>744</v>
      </c>
      <c r="AC74" s="153"/>
      <c r="AD74" s="160">
        <v>3.4</v>
      </c>
      <c r="AE74" s="154"/>
      <c r="AF74" s="155"/>
      <c r="AG74" s="156">
        <v>23.1739</v>
      </c>
      <c r="AH74" s="146">
        <v>5</v>
      </c>
      <c r="AI74" s="145"/>
      <c r="AJ74" s="149"/>
      <c r="AK74" s="157">
        <f t="shared" si="1"/>
        <v>38.199999999999996</v>
      </c>
      <c r="AL74" s="151"/>
    </row>
    <row r="75" spans="1:38">
      <c r="A75" s="146">
        <v>404</v>
      </c>
      <c r="B75" s="144" t="s">
        <v>886</v>
      </c>
      <c r="C75" s="143" t="s">
        <v>132</v>
      </c>
      <c r="D75" s="143" t="s">
        <v>139</v>
      </c>
      <c r="E75" s="143" t="s">
        <v>140</v>
      </c>
      <c r="F75" s="143" t="s">
        <v>9</v>
      </c>
      <c r="G75" s="143" t="s">
        <v>10</v>
      </c>
      <c r="H75" s="143" t="s">
        <v>743</v>
      </c>
      <c r="I75" s="143" t="s">
        <v>141</v>
      </c>
      <c r="J75" s="145"/>
      <c r="K75" s="145"/>
      <c r="L75" s="153"/>
      <c r="M75" s="154">
        <v>-5</v>
      </c>
      <c r="N75" s="154">
        <v>-5.2</v>
      </c>
      <c r="O75" s="154">
        <v>14.7</v>
      </c>
      <c r="P75" s="154">
        <v>3.4</v>
      </c>
      <c r="Q75" s="154">
        <v>3</v>
      </c>
      <c r="R75" s="154">
        <v>-2.8</v>
      </c>
      <c r="S75" s="154">
        <v>0.8</v>
      </c>
      <c r="T75" s="154">
        <v>2.2000000000000002</v>
      </c>
      <c r="U75" s="154">
        <v>-3.5</v>
      </c>
      <c r="V75" s="158" t="s">
        <v>775</v>
      </c>
      <c r="W75" s="153"/>
      <c r="X75" s="153"/>
      <c r="Y75" s="153"/>
      <c r="Z75" s="153"/>
      <c r="AA75" s="155">
        <v>17.8</v>
      </c>
      <c r="AB75" s="143" t="s">
        <v>744</v>
      </c>
      <c r="AC75" s="153"/>
      <c r="AD75" s="160">
        <v>1.1000000000000001</v>
      </c>
      <c r="AE75" s="154"/>
      <c r="AF75" s="155"/>
      <c r="AG75" s="156">
        <v>23.971599999999999</v>
      </c>
      <c r="AH75" s="146">
        <v>5</v>
      </c>
      <c r="AI75" s="145"/>
      <c r="AJ75" s="149"/>
      <c r="AK75" s="157">
        <f t="shared" si="1"/>
        <v>26.500000000000004</v>
      </c>
      <c r="AL75" s="151"/>
    </row>
    <row r="76" spans="1:38">
      <c r="A76" s="146">
        <v>405</v>
      </c>
      <c r="B76" s="144" t="s">
        <v>887</v>
      </c>
      <c r="C76" s="143" t="s">
        <v>132</v>
      </c>
      <c r="D76" s="143" t="s">
        <v>142</v>
      </c>
      <c r="E76" s="143" t="s">
        <v>143</v>
      </c>
      <c r="F76" s="143" t="s">
        <v>12</v>
      </c>
      <c r="G76" s="143" t="s">
        <v>10</v>
      </c>
      <c r="H76" s="143" t="s">
        <v>743</v>
      </c>
      <c r="I76" s="143" t="s">
        <v>141</v>
      </c>
      <c r="J76" s="145"/>
      <c r="K76" s="145"/>
      <c r="L76" s="153"/>
      <c r="M76" s="154">
        <v>-4.9000000000000004</v>
      </c>
      <c r="N76" s="154">
        <v>-6.2</v>
      </c>
      <c r="O76" s="154">
        <v>14.8</v>
      </c>
      <c r="P76" s="154">
        <v>3.8</v>
      </c>
      <c r="Q76" s="154">
        <v>3.7</v>
      </c>
      <c r="R76" s="158" t="s">
        <v>754</v>
      </c>
      <c r="S76" s="155">
        <v>-2.2000000000000002</v>
      </c>
      <c r="T76" s="159" t="s">
        <v>754</v>
      </c>
      <c r="U76" s="155">
        <v>-2.1</v>
      </c>
      <c r="V76" s="158" t="s">
        <v>775</v>
      </c>
      <c r="W76" s="153"/>
      <c r="X76" s="153"/>
      <c r="Y76" s="153"/>
      <c r="Z76" s="153"/>
      <c r="AA76" s="155">
        <v>19.100000000000001</v>
      </c>
      <c r="AB76" s="143" t="s">
        <v>744</v>
      </c>
      <c r="AC76" s="153"/>
      <c r="AD76" s="160">
        <v>-1.5</v>
      </c>
      <c r="AE76" s="154"/>
      <c r="AF76" s="155"/>
      <c r="AG76" s="156">
        <v>23.9864</v>
      </c>
      <c r="AH76" s="146">
        <v>5</v>
      </c>
      <c r="AI76" s="145"/>
      <c r="AJ76" s="149"/>
      <c r="AK76" s="157">
        <f t="shared" si="1"/>
        <v>24.5</v>
      </c>
      <c r="AL76" s="151"/>
    </row>
    <row r="77" spans="1:38">
      <c r="A77" s="146">
        <v>406</v>
      </c>
      <c r="B77" s="144" t="s">
        <v>888</v>
      </c>
      <c r="C77" s="143" t="s">
        <v>132</v>
      </c>
      <c r="D77" s="143" t="s">
        <v>889</v>
      </c>
      <c r="E77" s="143" t="s">
        <v>144</v>
      </c>
      <c r="F77" s="143" t="s">
        <v>12</v>
      </c>
      <c r="G77" s="143" t="s">
        <v>10</v>
      </c>
      <c r="H77" s="143" t="s">
        <v>743</v>
      </c>
      <c r="I77" s="143" t="s">
        <v>141</v>
      </c>
      <c r="J77" s="145"/>
      <c r="K77" s="145"/>
      <c r="L77" s="153"/>
      <c r="M77" s="154">
        <v>-2.4</v>
      </c>
      <c r="N77" s="154">
        <v>-7.7</v>
      </c>
      <c r="O77" s="154">
        <v>14.2</v>
      </c>
      <c r="P77" s="154">
        <v>3.8</v>
      </c>
      <c r="Q77" s="154">
        <v>6.9</v>
      </c>
      <c r="R77" s="158" t="s">
        <v>754</v>
      </c>
      <c r="S77" s="155">
        <v>-2.5</v>
      </c>
      <c r="T77" s="159" t="s">
        <v>754</v>
      </c>
      <c r="U77" s="155">
        <v>-1.9</v>
      </c>
      <c r="V77" s="158" t="s">
        <v>775</v>
      </c>
      <c r="W77" s="153"/>
      <c r="X77" s="153"/>
      <c r="Y77" s="153"/>
      <c r="Z77" s="153"/>
      <c r="AA77" s="155">
        <v>23.3</v>
      </c>
      <c r="AB77" s="143" t="s">
        <v>744</v>
      </c>
      <c r="AC77" s="153"/>
      <c r="AD77" s="160">
        <v>1.2</v>
      </c>
      <c r="AE77" s="154"/>
      <c r="AF77" s="155"/>
      <c r="AG77" s="156">
        <v>22.193300000000001</v>
      </c>
      <c r="AH77" s="146">
        <v>5</v>
      </c>
      <c r="AI77" s="145"/>
      <c r="AJ77" s="149"/>
      <c r="AK77" s="157">
        <f t="shared" si="1"/>
        <v>34.900000000000006</v>
      </c>
      <c r="AL77" s="151"/>
    </row>
    <row r="78" spans="1:38">
      <c r="A78" s="146">
        <v>407</v>
      </c>
      <c r="B78" s="144" t="s">
        <v>890</v>
      </c>
      <c r="C78" s="143" t="s">
        <v>132</v>
      </c>
      <c r="D78" s="143" t="s">
        <v>145</v>
      </c>
      <c r="E78" s="143" t="s">
        <v>146</v>
      </c>
      <c r="F78" s="143" t="s">
        <v>9</v>
      </c>
      <c r="G78" s="143" t="s">
        <v>10</v>
      </c>
      <c r="H78" s="143" t="s">
        <v>743</v>
      </c>
      <c r="I78" s="143" t="s">
        <v>141</v>
      </c>
      <c r="J78" s="145"/>
      <c r="K78" s="145"/>
      <c r="L78" s="153"/>
      <c r="M78" s="154">
        <v>-3.2</v>
      </c>
      <c r="N78" s="154">
        <v>-6.4</v>
      </c>
      <c r="O78" s="154">
        <v>15.6</v>
      </c>
      <c r="P78" s="154">
        <v>2</v>
      </c>
      <c r="Q78" s="154">
        <v>5.3</v>
      </c>
      <c r="R78" s="158" t="s">
        <v>754</v>
      </c>
      <c r="S78" s="155">
        <v>-1.9</v>
      </c>
      <c r="T78" s="159" t="s">
        <v>754</v>
      </c>
      <c r="U78" s="155">
        <v>0</v>
      </c>
      <c r="V78" s="158" t="s">
        <v>775</v>
      </c>
      <c r="W78" s="153"/>
      <c r="X78" s="153"/>
      <c r="Y78" s="153"/>
      <c r="Z78" s="153"/>
      <c r="AA78" s="155">
        <v>19.100000000000001</v>
      </c>
      <c r="AB78" s="143" t="s">
        <v>744</v>
      </c>
      <c r="AC78" s="153"/>
      <c r="AD78" s="160">
        <v>0.2</v>
      </c>
      <c r="AE78" s="154"/>
      <c r="AF78" s="155"/>
      <c r="AG78" s="156">
        <v>18.945</v>
      </c>
      <c r="AH78" s="146">
        <v>5</v>
      </c>
      <c r="AI78" s="145"/>
      <c r="AJ78" s="149"/>
      <c r="AK78" s="157">
        <f t="shared" si="1"/>
        <v>30.7</v>
      </c>
      <c r="AL78" s="151"/>
    </row>
    <row r="79" spans="1:38">
      <c r="A79" s="146">
        <v>408</v>
      </c>
      <c r="B79" s="144" t="s">
        <v>891</v>
      </c>
      <c r="C79" s="143" t="s">
        <v>132</v>
      </c>
      <c r="D79" s="143" t="s">
        <v>892</v>
      </c>
      <c r="E79" s="143" t="s">
        <v>147</v>
      </c>
      <c r="F79" s="143" t="s">
        <v>9</v>
      </c>
      <c r="G79" s="143" t="s">
        <v>10</v>
      </c>
      <c r="H79" s="143" t="s">
        <v>743</v>
      </c>
      <c r="I79" s="143" t="s">
        <v>141</v>
      </c>
      <c r="J79" s="145"/>
      <c r="K79" s="145"/>
      <c r="L79" s="153"/>
      <c r="M79" s="158" t="s">
        <v>754</v>
      </c>
      <c r="N79" s="155">
        <v>-8.6999999999999993</v>
      </c>
      <c r="O79" s="154">
        <v>14.3</v>
      </c>
      <c r="P79" s="154">
        <v>4.4000000000000004</v>
      </c>
      <c r="Q79" s="154">
        <v>7.1</v>
      </c>
      <c r="R79" s="158" t="s">
        <v>754</v>
      </c>
      <c r="S79" s="155">
        <v>-2.2999999999999998</v>
      </c>
      <c r="T79" s="159" t="s">
        <v>754</v>
      </c>
      <c r="U79" s="155">
        <v>-2.5</v>
      </c>
      <c r="V79" s="158" t="s">
        <v>775</v>
      </c>
      <c r="W79" s="153"/>
      <c r="X79" s="153"/>
      <c r="Y79" s="153"/>
      <c r="Z79" s="153"/>
      <c r="AA79" s="155">
        <v>21</v>
      </c>
      <c r="AB79" s="143" t="s">
        <v>744</v>
      </c>
      <c r="AC79" s="153"/>
      <c r="AD79" s="160">
        <v>0.6</v>
      </c>
      <c r="AE79" s="154"/>
      <c r="AF79" s="155"/>
      <c r="AG79" s="156">
        <v>18.413900000000002</v>
      </c>
      <c r="AH79" s="146">
        <v>5</v>
      </c>
      <c r="AI79" s="145"/>
      <c r="AJ79" s="149"/>
      <c r="AK79" s="157">
        <f t="shared" si="1"/>
        <v>33.9</v>
      </c>
      <c r="AL79" s="151"/>
    </row>
    <row r="80" spans="1:38">
      <c r="A80" s="146">
        <v>410</v>
      </c>
      <c r="B80" s="144" t="s">
        <v>893</v>
      </c>
      <c r="C80" s="143" t="s">
        <v>132</v>
      </c>
      <c r="D80" s="143" t="s">
        <v>894</v>
      </c>
      <c r="E80" s="143" t="s">
        <v>895</v>
      </c>
      <c r="F80" s="143" t="s">
        <v>9</v>
      </c>
      <c r="G80" s="143" t="s">
        <v>31</v>
      </c>
      <c r="H80" s="143" t="s">
        <v>64</v>
      </c>
      <c r="I80" s="143" t="s">
        <v>54</v>
      </c>
      <c r="J80" s="145"/>
      <c r="K80" s="145"/>
      <c r="L80" s="153"/>
      <c r="M80" s="153"/>
      <c r="N80" s="153"/>
      <c r="O80" s="145"/>
      <c r="P80" s="154">
        <v>13.3</v>
      </c>
      <c r="Q80" s="154">
        <v>7.6</v>
      </c>
      <c r="R80" s="154">
        <v>-5.5</v>
      </c>
      <c r="S80" s="158" t="s">
        <v>770</v>
      </c>
      <c r="T80" s="145"/>
      <c r="U80" s="159" t="s">
        <v>770</v>
      </c>
      <c r="V80" s="145"/>
      <c r="W80" s="153"/>
      <c r="X80" s="153"/>
      <c r="Y80" s="153"/>
      <c r="Z80" s="153"/>
      <c r="AA80" s="153"/>
      <c r="AB80" s="153"/>
      <c r="AC80" s="153"/>
      <c r="AD80" s="153"/>
      <c r="AE80" s="155"/>
      <c r="AF80" s="155"/>
      <c r="AG80" s="156">
        <v>3.6211000000000002</v>
      </c>
      <c r="AH80" s="146">
        <v>59</v>
      </c>
      <c r="AI80" s="143" t="s">
        <v>896</v>
      </c>
      <c r="AJ80" s="149"/>
      <c r="AK80" s="157">
        <f t="shared" si="1"/>
        <v>15.399999999999999</v>
      </c>
      <c r="AL80" s="151"/>
    </row>
    <row r="81" spans="1:38">
      <c r="A81" s="146">
        <v>411</v>
      </c>
      <c r="B81" s="144" t="s">
        <v>897</v>
      </c>
      <c r="C81" s="143" t="s">
        <v>132</v>
      </c>
      <c r="D81" s="143" t="s">
        <v>898</v>
      </c>
      <c r="E81" s="143" t="s">
        <v>148</v>
      </c>
      <c r="F81" s="143" t="s">
        <v>9</v>
      </c>
      <c r="G81" s="143" t="s">
        <v>10</v>
      </c>
      <c r="H81" s="143" t="s">
        <v>64</v>
      </c>
      <c r="I81" s="143" t="s">
        <v>54</v>
      </c>
      <c r="J81" s="145"/>
      <c r="K81" s="145"/>
      <c r="L81" s="153"/>
      <c r="M81" s="158" t="s">
        <v>754</v>
      </c>
      <c r="N81" s="155">
        <v>218.7</v>
      </c>
      <c r="O81" s="154">
        <v>101</v>
      </c>
      <c r="P81" s="154">
        <v>38.4</v>
      </c>
      <c r="Q81" s="154">
        <v>11.1</v>
      </c>
      <c r="R81" s="154">
        <v>10.8</v>
      </c>
      <c r="S81" s="154">
        <v>47.7</v>
      </c>
      <c r="T81" s="154">
        <v>22.1</v>
      </c>
      <c r="U81" s="158" t="s">
        <v>47</v>
      </c>
      <c r="V81" s="145"/>
      <c r="W81" s="153"/>
      <c r="X81" s="153"/>
      <c r="Y81" s="153"/>
      <c r="Z81" s="153"/>
      <c r="AA81" s="153"/>
      <c r="AB81" s="153"/>
      <c r="AC81" s="153"/>
      <c r="AD81" s="153"/>
      <c r="AE81" s="155"/>
      <c r="AF81" s="155"/>
      <c r="AG81" s="156">
        <v>3.8319999999999999</v>
      </c>
      <c r="AH81" s="146">
        <v>59</v>
      </c>
      <c r="AI81" s="143" t="s">
        <v>899</v>
      </c>
      <c r="AJ81" s="149"/>
      <c r="AK81" s="157">
        <f t="shared" si="1"/>
        <v>449.8</v>
      </c>
      <c r="AL81" s="151"/>
    </row>
    <row r="82" spans="1:38">
      <c r="A82" s="146">
        <v>412</v>
      </c>
      <c r="B82" s="144" t="s">
        <v>900</v>
      </c>
      <c r="C82" s="143" t="s">
        <v>132</v>
      </c>
      <c r="D82" s="143" t="s">
        <v>901</v>
      </c>
      <c r="E82" s="143" t="s">
        <v>902</v>
      </c>
      <c r="F82" s="143" t="s">
        <v>9</v>
      </c>
      <c r="G82" s="143" t="s">
        <v>10</v>
      </c>
      <c r="H82" s="143" t="s">
        <v>64</v>
      </c>
      <c r="I82" s="143" t="s">
        <v>54</v>
      </c>
      <c r="J82" s="145"/>
      <c r="K82" s="145"/>
      <c r="L82" s="153"/>
      <c r="M82" s="158" t="s">
        <v>754</v>
      </c>
      <c r="N82" s="155">
        <v>53.9</v>
      </c>
      <c r="O82" s="154">
        <v>41.4</v>
      </c>
      <c r="P82" s="154">
        <v>22.4</v>
      </c>
      <c r="Q82" s="154">
        <v>10.199999999999999</v>
      </c>
      <c r="R82" s="154">
        <v>7.1</v>
      </c>
      <c r="S82" s="158" t="s">
        <v>770</v>
      </c>
      <c r="T82" s="158" t="s">
        <v>770</v>
      </c>
      <c r="U82" s="154">
        <v>54.5</v>
      </c>
      <c r="V82" s="158" t="s">
        <v>775</v>
      </c>
      <c r="W82" s="153"/>
      <c r="X82" s="153"/>
      <c r="Y82" s="153"/>
      <c r="Z82" s="153"/>
      <c r="AA82" s="155">
        <v>135.1</v>
      </c>
      <c r="AB82" s="143" t="s">
        <v>744</v>
      </c>
      <c r="AC82" s="153"/>
      <c r="AD82" s="160">
        <v>50.2</v>
      </c>
      <c r="AE82" s="154"/>
      <c r="AF82" s="155"/>
      <c r="AG82" s="156">
        <v>4.8661000000000003</v>
      </c>
      <c r="AH82" s="146">
        <v>5</v>
      </c>
      <c r="AI82" s="143" t="s">
        <v>903</v>
      </c>
      <c r="AJ82" s="149"/>
      <c r="AK82" s="157">
        <f t="shared" si="1"/>
        <v>374.8</v>
      </c>
      <c r="AL82" s="151"/>
    </row>
    <row r="83" spans="1:38">
      <c r="A83" s="146">
        <v>413</v>
      </c>
      <c r="B83" s="144" t="s">
        <v>904</v>
      </c>
      <c r="C83" s="143" t="s">
        <v>132</v>
      </c>
      <c r="D83" s="143" t="s">
        <v>905</v>
      </c>
      <c r="E83" s="143" t="s">
        <v>149</v>
      </c>
      <c r="F83" s="143" t="s">
        <v>9</v>
      </c>
      <c r="G83" s="143" t="s">
        <v>31</v>
      </c>
      <c r="H83" s="143" t="s">
        <v>64</v>
      </c>
      <c r="I83" s="143" t="s">
        <v>54</v>
      </c>
      <c r="J83" s="145"/>
      <c r="K83" s="145"/>
      <c r="L83" s="153"/>
      <c r="M83" s="153"/>
      <c r="N83" s="153"/>
      <c r="O83" s="153"/>
      <c r="P83" s="154">
        <v>85.6</v>
      </c>
      <c r="Q83" s="154">
        <v>20.8</v>
      </c>
      <c r="R83" s="158" t="s">
        <v>47</v>
      </c>
      <c r="S83" s="154">
        <v>36.9</v>
      </c>
      <c r="T83" s="154">
        <v>19.899999999999999</v>
      </c>
      <c r="U83" s="154">
        <v>21.6</v>
      </c>
      <c r="V83" s="145"/>
      <c r="W83" s="153"/>
      <c r="X83" s="153"/>
      <c r="Y83" s="153"/>
      <c r="Z83" s="153"/>
      <c r="AA83" s="153"/>
      <c r="AB83" s="153"/>
      <c r="AC83" s="153"/>
      <c r="AD83" s="153"/>
      <c r="AE83" s="155"/>
      <c r="AF83" s="155"/>
      <c r="AG83" s="156">
        <v>5.1981999999999999</v>
      </c>
      <c r="AH83" s="146">
        <v>59</v>
      </c>
      <c r="AI83" s="143" t="s">
        <v>906</v>
      </c>
      <c r="AJ83" s="149"/>
      <c r="AK83" s="157">
        <f t="shared" si="1"/>
        <v>184.79999999999998</v>
      </c>
      <c r="AL83" s="151"/>
    </row>
    <row r="84" spans="1:38">
      <c r="A84" s="146">
        <v>414</v>
      </c>
      <c r="B84" s="144" t="s">
        <v>907</v>
      </c>
      <c r="C84" s="143" t="s">
        <v>132</v>
      </c>
      <c r="D84" s="143" t="s">
        <v>908</v>
      </c>
      <c r="E84" s="143" t="s">
        <v>150</v>
      </c>
      <c r="F84" s="143" t="s">
        <v>9</v>
      </c>
      <c r="G84" s="143" t="s">
        <v>31</v>
      </c>
      <c r="H84" s="143" t="s">
        <v>64</v>
      </c>
      <c r="I84" s="143" t="s">
        <v>54</v>
      </c>
      <c r="J84" s="145"/>
      <c r="K84" s="145"/>
      <c r="L84" s="153"/>
      <c r="M84" s="153"/>
      <c r="N84" s="153"/>
      <c r="O84" s="153"/>
      <c r="P84" s="154">
        <v>33.799999999999997</v>
      </c>
      <c r="Q84" s="154">
        <v>32.1</v>
      </c>
      <c r="R84" s="154">
        <v>23.9</v>
      </c>
      <c r="S84" s="154">
        <v>40.4</v>
      </c>
      <c r="T84" s="154">
        <v>16.399999999999999</v>
      </c>
      <c r="U84" s="154">
        <v>21.4</v>
      </c>
      <c r="V84" s="158" t="s">
        <v>775</v>
      </c>
      <c r="W84" s="153"/>
      <c r="X84" s="153"/>
      <c r="Y84" s="153"/>
      <c r="Z84" s="153"/>
      <c r="AA84" s="155">
        <v>128.4</v>
      </c>
      <c r="AB84" s="143" t="s">
        <v>744</v>
      </c>
      <c r="AC84" s="153"/>
      <c r="AD84" s="161" t="s">
        <v>770</v>
      </c>
      <c r="AE84" s="154"/>
      <c r="AF84" s="155"/>
      <c r="AG84" s="156">
        <v>7.1505000000000001</v>
      </c>
      <c r="AH84" s="146">
        <v>5</v>
      </c>
      <c r="AI84" s="143" t="s">
        <v>871</v>
      </c>
      <c r="AJ84" s="149"/>
      <c r="AK84" s="157">
        <f t="shared" si="1"/>
        <v>296.40000000000003</v>
      </c>
      <c r="AL84" s="151"/>
    </row>
    <row r="85" spans="1:38">
      <c r="A85" s="146">
        <v>415</v>
      </c>
      <c r="B85" s="144" t="s">
        <v>909</v>
      </c>
      <c r="C85" s="143" t="s">
        <v>132</v>
      </c>
      <c r="D85" s="143" t="s">
        <v>910</v>
      </c>
      <c r="E85" s="143" t="s">
        <v>151</v>
      </c>
      <c r="F85" s="143" t="s">
        <v>9</v>
      </c>
      <c r="G85" s="143" t="s">
        <v>10</v>
      </c>
      <c r="H85" s="143" t="s">
        <v>64</v>
      </c>
      <c r="I85" s="143" t="s">
        <v>54</v>
      </c>
      <c r="J85" s="145"/>
      <c r="K85" s="145"/>
      <c r="L85" s="153"/>
      <c r="M85" s="158" t="s">
        <v>754</v>
      </c>
      <c r="N85" s="155">
        <v>39.200000000000003</v>
      </c>
      <c r="O85" s="154">
        <v>50.8</v>
      </c>
      <c r="P85" s="154">
        <v>9.3000000000000007</v>
      </c>
      <c r="Q85" s="154">
        <v>-2</v>
      </c>
      <c r="R85" s="154">
        <v>14.6</v>
      </c>
      <c r="S85" s="154">
        <v>26.4</v>
      </c>
      <c r="T85" s="154">
        <v>18.3</v>
      </c>
      <c r="U85" s="154">
        <v>51.4</v>
      </c>
      <c r="V85" s="158" t="s">
        <v>775</v>
      </c>
      <c r="W85" s="153"/>
      <c r="X85" s="153"/>
      <c r="Y85" s="153"/>
      <c r="Z85" s="153"/>
      <c r="AA85" s="155">
        <v>54</v>
      </c>
      <c r="AB85" s="143" t="s">
        <v>744</v>
      </c>
      <c r="AC85" s="153"/>
      <c r="AD85" s="160">
        <v>31.9</v>
      </c>
      <c r="AE85" s="154"/>
      <c r="AF85" s="155"/>
      <c r="AG85" s="156">
        <v>5.7667000000000002</v>
      </c>
      <c r="AH85" s="146">
        <v>5</v>
      </c>
      <c r="AI85" s="145"/>
      <c r="AJ85" s="149"/>
      <c r="AK85" s="157">
        <f t="shared" si="1"/>
        <v>293.89999999999998</v>
      </c>
      <c r="AL85" s="151"/>
    </row>
    <row r="86" spans="1:38">
      <c r="A86" s="146">
        <v>416</v>
      </c>
      <c r="B86" s="144" t="s">
        <v>911</v>
      </c>
      <c r="C86" s="143" t="s">
        <v>132</v>
      </c>
      <c r="D86" s="143" t="s">
        <v>152</v>
      </c>
      <c r="E86" s="143" t="s">
        <v>153</v>
      </c>
      <c r="F86" s="143" t="s">
        <v>9</v>
      </c>
      <c r="G86" s="143" t="s">
        <v>10</v>
      </c>
      <c r="H86" s="143" t="s">
        <v>743</v>
      </c>
      <c r="I86" s="143" t="s">
        <v>54</v>
      </c>
      <c r="J86" s="145"/>
      <c r="K86" s="145"/>
      <c r="L86" s="153"/>
      <c r="M86" s="158" t="s">
        <v>754</v>
      </c>
      <c r="N86" s="155">
        <v>79.599999999999994</v>
      </c>
      <c r="O86" s="154">
        <v>30.9</v>
      </c>
      <c r="P86" s="154">
        <v>38.6</v>
      </c>
      <c r="Q86" s="154">
        <v>43.8</v>
      </c>
      <c r="R86" s="154">
        <v>2.1</v>
      </c>
      <c r="S86" s="154">
        <v>37.200000000000003</v>
      </c>
      <c r="T86" s="154">
        <v>21</v>
      </c>
      <c r="U86" s="154">
        <v>63.5</v>
      </c>
      <c r="V86" s="158" t="s">
        <v>744</v>
      </c>
      <c r="W86" s="153"/>
      <c r="X86" s="155">
        <v>30.5</v>
      </c>
      <c r="Y86" s="143" t="s">
        <v>744</v>
      </c>
      <c r="Z86" s="153"/>
      <c r="AA86" s="155">
        <v>43.9</v>
      </c>
      <c r="AB86" s="143" t="s">
        <v>744</v>
      </c>
      <c r="AC86" s="153"/>
      <c r="AD86" s="160">
        <v>12.3</v>
      </c>
      <c r="AE86" s="154"/>
      <c r="AF86" s="155"/>
      <c r="AG86" s="156">
        <v>9.5124999999999993</v>
      </c>
      <c r="AH86" s="146">
        <v>5</v>
      </c>
      <c r="AI86" s="145"/>
      <c r="AJ86" s="149"/>
      <c r="AK86" s="157">
        <f t="shared" si="1"/>
        <v>403.4</v>
      </c>
      <c r="AL86" s="151"/>
    </row>
    <row r="87" spans="1:38">
      <c r="A87" s="146">
        <v>417</v>
      </c>
      <c r="B87" s="144" t="s">
        <v>912</v>
      </c>
      <c r="C87" s="143" t="s">
        <v>132</v>
      </c>
      <c r="D87" s="143" t="s">
        <v>154</v>
      </c>
      <c r="E87" s="143" t="s">
        <v>155</v>
      </c>
      <c r="F87" s="143" t="s">
        <v>9</v>
      </c>
      <c r="G87" s="143" t="s">
        <v>10</v>
      </c>
      <c r="H87" s="143" t="s">
        <v>743</v>
      </c>
      <c r="I87" s="143" t="s">
        <v>54</v>
      </c>
      <c r="J87" s="145"/>
      <c r="K87" s="145"/>
      <c r="L87" s="153"/>
      <c r="M87" s="158" t="s">
        <v>754</v>
      </c>
      <c r="N87" s="155">
        <v>34.200000000000003</v>
      </c>
      <c r="O87" s="154">
        <v>36.4</v>
      </c>
      <c r="P87" s="154">
        <v>8.4</v>
      </c>
      <c r="Q87" s="154">
        <v>28.8</v>
      </c>
      <c r="R87" s="154">
        <v>32.299999999999997</v>
      </c>
      <c r="S87" s="154">
        <v>25</v>
      </c>
      <c r="T87" s="158" t="s">
        <v>47</v>
      </c>
      <c r="U87" s="154">
        <v>8.5</v>
      </c>
      <c r="V87" s="158" t="s">
        <v>775</v>
      </c>
      <c r="W87" s="153"/>
      <c r="X87" s="153"/>
      <c r="Y87" s="153"/>
      <c r="Z87" s="153"/>
      <c r="AA87" s="155">
        <v>48.7</v>
      </c>
      <c r="AB87" s="143" t="s">
        <v>744</v>
      </c>
      <c r="AC87" s="153"/>
      <c r="AD87" s="160">
        <v>21.5</v>
      </c>
      <c r="AE87" s="154"/>
      <c r="AF87" s="155"/>
      <c r="AG87" s="156">
        <v>7.4161000000000001</v>
      </c>
      <c r="AH87" s="146">
        <v>5</v>
      </c>
      <c r="AI87" s="143" t="s">
        <v>913</v>
      </c>
      <c r="AJ87" s="149"/>
      <c r="AK87" s="157">
        <f t="shared" si="1"/>
        <v>243.8</v>
      </c>
      <c r="AL87" s="151"/>
    </row>
    <row r="88" spans="1:38">
      <c r="A88" s="146">
        <v>501</v>
      </c>
      <c r="B88" s="144" t="s">
        <v>914</v>
      </c>
      <c r="C88" s="143" t="s">
        <v>156</v>
      </c>
      <c r="D88" s="143" t="s">
        <v>915</v>
      </c>
      <c r="E88" s="143" t="s">
        <v>157</v>
      </c>
      <c r="F88" s="143" t="s">
        <v>12</v>
      </c>
      <c r="G88" s="143" t="s">
        <v>31</v>
      </c>
      <c r="H88" s="143" t="s">
        <v>743</v>
      </c>
      <c r="I88" s="143" t="s">
        <v>98</v>
      </c>
      <c r="J88" s="145"/>
      <c r="K88" s="145"/>
      <c r="L88" s="153"/>
      <c r="M88" s="153"/>
      <c r="N88" s="153"/>
      <c r="O88" s="153"/>
      <c r="P88" s="154">
        <v>7.4</v>
      </c>
      <c r="Q88" s="154">
        <v>0.6</v>
      </c>
      <c r="R88" s="158" t="s">
        <v>754</v>
      </c>
      <c r="S88" s="155">
        <v>1.8</v>
      </c>
      <c r="T88" s="145"/>
      <c r="U88" s="153"/>
      <c r="V88" s="153"/>
      <c r="W88" s="153"/>
      <c r="X88" s="153"/>
      <c r="Y88" s="153"/>
      <c r="Z88" s="158" t="s">
        <v>47</v>
      </c>
      <c r="AA88" s="158" t="s">
        <v>87</v>
      </c>
      <c r="AB88" s="153"/>
      <c r="AC88" s="153"/>
      <c r="AD88" s="153"/>
      <c r="AE88" s="155"/>
      <c r="AF88" s="155"/>
      <c r="AG88" s="156">
        <v>64.024699999999996</v>
      </c>
      <c r="AH88" s="146">
        <v>2</v>
      </c>
      <c r="AI88" s="143" t="s">
        <v>916</v>
      </c>
      <c r="AJ88" s="149"/>
      <c r="AK88" s="157">
        <f t="shared" si="1"/>
        <v>9.8000000000000007</v>
      </c>
      <c r="AL88" s="151"/>
    </row>
    <row r="89" spans="1:38">
      <c r="A89" s="146">
        <v>502</v>
      </c>
      <c r="B89" s="144" t="s">
        <v>917</v>
      </c>
      <c r="C89" s="143" t="s">
        <v>156</v>
      </c>
      <c r="D89" s="143" t="s">
        <v>158</v>
      </c>
      <c r="E89" s="143" t="s">
        <v>159</v>
      </c>
      <c r="F89" s="143" t="s">
        <v>12</v>
      </c>
      <c r="G89" s="143" t="s">
        <v>31</v>
      </c>
      <c r="H89" s="143" t="s">
        <v>743</v>
      </c>
      <c r="I89" s="143" t="s">
        <v>98</v>
      </c>
      <c r="J89" s="145"/>
      <c r="K89" s="145"/>
      <c r="L89" s="153"/>
      <c r="M89" s="153"/>
      <c r="N89" s="153"/>
      <c r="O89" s="153"/>
      <c r="P89" s="154">
        <v>4.9000000000000004</v>
      </c>
      <c r="Q89" s="154">
        <v>-4.7</v>
      </c>
      <c r="R89" s="158" t="s">
        <v>754</v>
      </c>
      <c r="S89" s="155">
        <v>3.3</v>
      </c>
      <c r="T89" s="158" t="s">
        <v>759</v>
      </c>
      <c r="U89" s="153"/>
      <c r="V89" s="153"/>
      <c r="W89" s="153"/>
      <c r="X89" s="153"/>
      <c r="Y89" s="153"/>
      <c r="Z89" s="153"/>
      <c r="AA89" s="155">
        <v>9.3000000000000007</v>
      </c>
      <c r="AB89" s="145"/>
      <c r="AC89" s="153"/>
      <c r="AD89" s="153"/>
      <c r="AE89" s="155"/>
      <c r="AF89" s="155"/>
      <c r="AG89" s="156">
        <v>52.314599999999999</v>
      </c>
      <c r="AH89" s="146">
        <v>2</v>
      </c>
      <c r="AI89" s="145"/>
      <c r="AJ89" s="149"/>
      <c r="AK89" s="157">
        <f t="shared" si="1"/>
        <v>12.8</v>
      </c>
      <c r="AL89" s="151"/>
    </row>
    <row r="90" spans="1:38">
      <c r="A90" s="146">
        <v>503</v>
      </c>
      <c r="B90" s="144" t="s">
        <v>918</v>
      </c>
      <c r="C90" s="143" t="s">
        <v>156</v>
      </c>
      <c r="D90" s="143" t="s">
        <v>160</v>
      </c>
      <c r="E90" s="143" t="s">
        <v>161</v>
      </c>
      <c r="F90" s="143" t="s">
        <v>12</v>
      </c>
      <c r="G90" s="143" t="s">
        <v>31</v>
      </c>
      <c r="H90" s="143" t="s">
        <v>743</v>
      </c>
      <c r="I90" s="143" t="s">
        <v>98</v>
      </c>
      <c r="J90" s="145"/>
      <c r="K90" s="145"/>
      <c r="L90" s="153"/>
      <c r="M90" s="153"/>
      <c r="N90" s="153"/>
      <c r="O90" s="153"/>
      <c r="P90" s="154">
        <v>3.7</v>
      </c>
      <c r="Q90" s="154">
        <v>-0.3</v>
      </c>
      <c r="R90" s="158" t="s">
        <v>754</v>
      </c>
      <c r="S90" s="155">
        <v>0.5</v>
      </c>
      <c r="T90" s="158" t="s">
        <v>756</v>
      </c>
      <c r="U90" s="153"/>
      <c r="V90" s="153"/>
      <c r="W90" s="155">
        <v>2.9</v>
      </c>
      <c r="X90" s="158" t="s">
        <v>756</v>
      </c>
      <c r="Y90" s="153"/>
      <c r="Z90" s="153"/>
      <c r="AA90" s="155">
        <v>11.5</v>
      </c>
      <c r="AB90" s="143" t="s">
        <v>744</v>
      </c>
      <c r="AC90" s="153"/>
      <c r="AD90" s="160">
        <v>-2.1</v>
      </c>
      <c r="AE90" s="154"/>
      <c r="AF90" s="155"/>
      <c r="AG90" s="156">
        <v>34.683799999999998</v>
      </c>
      <c r="AH90" s="146">
        <v>5</v>
      </c>
      <c r="AI90" s="143" t="s">
        <v>919</v>
      </c>
      <c r="AJ90" s="149"/>
      <c r="AK90" s="157">
        <f t="shared" si="1"/>
        <v>16.2</v>
      </c>
      <c r="AL90" s="151"/>
    </row>
    <row r="91" spans="1:38">
      <c r="A91" s="146">
        <v>504</v>
      </c>
      <c r="B91" s="144" t="s">
        <v>920</v>
      </c>
      <c r="C91" s="143" t="s">
        <v>156</v>
      </c>
      <c r="D91" s="143" t="s">
        <v>162</v>
      </c>
      <c r="E91" s="143" t="s">
        <v>163</v>
      </c>
      <c r="F91" s="143" t="s">
        <v>9</v>
      </c>
      <c r="G91" s="143" t="s">
        <v>10</v>
      </c>
      <c r="H91" s="143" t="s">
        <v>743</v>
      </c>
      <c r="I91" s="143" t="s">
        <v>921</v>
      </c>
      <c r="J91" s="145"/>
      <c r="K91" s="145"/>
      <c r="L91" s="153"/>
      <c r="M91" s="158" t="s">
        <v>744</v>
      </c>
      <c r="N91" s="153"/>
      <c r="O91" s="155">
        <v>2</v>
      </c>
      <c r="P91" s="154">
        <v>9.1999999999999993</v>
      </c>
      <c r="Q91" s="154">
        <v>1.8</v>
      </c>
      <c r="R91" s="158" t="s">
        <v>754</v>
      </c>
      <c r="S91" s="155">
        <v>7</v>
      </c>
      <c r="T91" s="158" t="s">
        <v>759</v>
      </c>
      <c r="U91" s="153"/>
      <c r="V91" s="153"/>
      <c r="W91" s="153"/>
      <c r="X91" s="153"/>
      <c r="Y91" s="153"/>
      <c r="Z91" s="153"/>
      <c r="AA91" s="155">
        <v>10.7</v>
      </c>
      <c r="AB91" s="143" t="s">
        <v>744</v>
      </c>
      <c r="AC91" s="153"/>
      <c r="AD91" s="160">
        <v>1.8</v>
      </c>
      <c r="AE91" s="154"/>
      <c r="AF91" s="155"/>
      <c r="AG91" s="156">
        <v>54.018000000000001</v>
      </c>
      <c r="AH91" s="146">
        <v>5</v>
      </c>
      <c r="AI91" s="145"/>
      <c r="AJ91" s="149"/>
      <c r="AK91" s="157">
        <f t="shared" si="1"/>
        <v>32.5</v>
      </c>
      <c r="AL91" s="151"/>
    </row>
    <row r="92" spans="1:38">
      <c r="A92" s="146">
        <v>505</v>
      </c>
      <c r="B92" s="144" t="s">
        <v>922</v>
      </c>
      <c r="C92" s="143" t="s">
        <v>156</v>
      </c>
      <c r="D92" s="143" t="s">
        <v>164</v>
      </c>
      <c r="E92" s="143" t="s">
        <v>165</v>
      </c>
      <c r="F92" s="143" t="s">
        <v>9</v>
      </c>
      <c r="G92" s="143" t="s">
        <v>10</v>
      </c>
      <c r="H92" s="143" t="s">
        <v>743</v>
      </c>
      <c r="I92" s="143" t="s">
        <v>98</v>
      </c>
      <c r="J92" s="145"/>
      <c r="K92" s="145"/>
      <c r="L92" s="153"/>
      <c r="M92" s="158" t="s">
        <v>744</v>
      </c>
      <c r="N92" s="153"/>
      <c r="O92" s="155">
        <v>6.6</v>
      </c>
      <c r="P92" s="154">
        <v>6.4</v>
      </c>
      <c r="Q92" s="154">
        <v>2.5</v>
      </c>
      <c r="R92" s="158" t="s">
        <v>754</v>
      </c>
      <c r="S92" s="155">
        <v>1.5</v>
      </c>
      <c r="T92" s="158" t="s">
        <v>759</v>
      </c>
      <c r="U92" s="153"/>
      <c r="V92" s="153"/>
      <c r="W92" s="153"/>
      <c r="X92" s="153"/>
      <c r="Y92" s="153"/>
      <c r="Z92" s="153"/>
      <c r="AA92" s="155">
        <v>13.1</v>
      </c>
      <c r="AB92" s="143" t="s">
        <v>744</v>
      </c>
      <c r="AC92" s="153"/>
      <c r="AD92" s="160">
        <v>2.7</v>
      </c>
      <c r="AE92" s="154"/>
      <c r="AF92" s="155"/>
      <c r="AG92" s="156">
        <v>35.903500000000001</v>
      </c>
      <c r="AH92" s="146">
        <v>5</v>
      </c>
      <c r="AI92" s="145"/>
      <c r="AJ92" s="149"/>
      <c r="AK92" s="157">
        <f t="shared" si="1"/>
        <v>32.800000000000004</v>
      </c>
      <c r="AL92" s="151"/>
    </row>
    <row r="93" spans="1:38">
      <c r="A93" s="146">
        <v>506</v>
      </c>
      <c r="B93" s="144" t="s">
        <v>923</v>
      </c>
      <c r="C93" s="143" t="s">
        <v>156</v>
      </c>
      <c r="D93" s="143" t="s">
        <v>166</v>
      </c>
      <c r="E93" s="143" t="s">
        <v>167</v>
      </c>
      <c r="F93" s="143" t="s">
        <v>9</v>
      </c>
      <c r="G93" s="143" t="s">
        <v>10</v>
      </c>
      <c r="H93" s="143" t="s">
        <v>743</v>
      </c>
      <c r="I93" s="143" t="s">
        <v>98</v>
      </c>
      <c r="J93" s="145"/>
      <c r="K93" s="145"/>
      <c r="L93" s="153"/>
      <c r="M93" s="158" t="s">
        <v>744</v>
      </c>
      <c r="N93" s="153"/>
      <c r="O93" s="155">
        <v>6.5</v>
      </c>
      <c r="P93" s="154">
        <v>4.3</v>
      </c>
      <c r="Q93" s="145"/>
      <c r="R93" s="153"/>
      <c r="S93" s="153"/>
      <c r="T93" s="153"/>
      <c r="U93" s="159" t="s">
        <v>168</v>
      </c>
      <c r="V93" s="153"/>
      <c r="W93" s="153"/>
      <c r="X93" s="158" t="s">
        <v>756</v>
      </c>
      <c r="Y93" s="153"/>
      <c r="Z93" s="153"/>
      <c r="AA93" s="155">
        <v>11</v>
      </c>
      <c r="AB93" s="143" t="s">
        <v>744</v>
      </c>
      <c r="AC93" s="153"/>
      <c r="AD93" s="160">
        <v>0.2</v>
      </c>
      <c r="AE93" s="154"/>
      <c r="AF93" s="155"/>
      <c r="AG93" s="156">
        <v>34.697400000000002</v>
      </c>
      <c r="AH93" s="146">
        <v>5</v>
      </c>
      <c r="AI93" s="143" t="s">
        <v>924</v>
      </c>
      <c r="AJ93" s="149"/>
      <c r="AK93" s="157">
        <f t="shared" si="1"/>
        <v>22</v>
      </c>
      <c r="AL93" s="151"/>
    </row>
    <row r="94" spans="1:38">
      <c r="A94" s="146">
        <v>507</v>
      </c>
      <c r="B94" s="144" t="s">
        <v>925</v>
      </c>
      <c r="C94" s="143" t="s">
        <v>156</v>
      </c>
      <c r="D94" s="143" t="s">
        <v>169</v>
      </c>
      <c r="E94" s="143" t="s">
        <v>170</v>
      </c>
      <c r="F94" s="143" t="s">
        <v>9</v>
      </c>
      <c r="G94" s="143" t="s">
        <v>127</v>
      </c>
      <c r="H94" s="143" t="s">
        <v>743</v>
      </c>
      <c r="I94" s="143" t="s">
        <v>141</v>
      </c>
      <c r="J94" s="145"/>
      <c r="K94" s="145"/>
      <c r="L94" s="153"/>
      <c r="M94" s="153"/>
      <c r="N94" s="153"/>
      <c r="O94" s="153"/>
      <c r="P94" s="153"/>
      <c r="Q94" s="154">
        <v>0.5</v>
      </c>
      <c r="R94" s="158" t="s">
        <v>754</v>
      </c>
      <c r="S94" s="155">
        <v>6.9</v>
      </c>
      <c r="T94" s="158" t="s">
        <v>759</v>
      </c>
      <c r="U94" s="153"/>
      <c r="V94" s="153"/>
      <c r="W94" s="153"/>
      <c r="X94" s="153"/>
      <c r="Y94" s="153"/>
      <c r="Z94" s="153"/>
      <c r="AA94" s="155">
        <v>2.2999999999999998</v>
      </c>
      <c r="AB94" s="145"/>
      <c r="AC94" s="153"/>
      <c r="AD94" s="153"/>
      <c r="AE94" s="155"/>
      <c r="AF94" s="155"/>
      <c r="AG94" s="156">
        <v>106.93219999999999</v>
      </c>
      <c r="AH94" s="146">
        <v>2</v>
      </c>
      <c r="AI94" s="145"/>
      <c r="AJ94" s="149"/>
      <c r="AK94" s="157">
        <f t="shared" si="1"/>
        <v>9.6999999999999993</v>
      </c>
      <c r="AL94" s="151"/>
    </row>
    <row r="95" spans="1:38">
      <c r="A95" s="146">
        <v>508</v>
      </c>
      <c r="B95" s="144" t="s">
        <v>926</v>
      </c>
      <c r="C95" s="143" t="s">
        <v>156</v>
      </c>
      <c r="D95" s="143" t="s">
        <v>171</v>
      </c>
      <c r="E95" s="143" t="s">
        <v>172</v>
      </c>
      <c r="F95" s="143" t="s">
        <v>9</v>
      </c>
      <c r="G95" s="143" t="s">
        <v>127</v>
      </c>
      <c r="H95" s="143" t="s">
        <v>743</v>
      </c>
      <c r="I95" s="143" t="s">
        <v>141</v>
      </c>
      <c r="J95" s="145"/>
      <c r="K95" s="145"/>
      <c r="L95" s="153"/>
      <c r="M95" s="153"/>
      <c r="N95" s="153"/>
      <c r="O95" s="153"/>
      <c r="P95" s="153"/>
      <c r="Q95" s="154">
        <v>3.3</v>
      </c>
      <c r="R95" s="158" t="s">
        <v>754</v>
      </c>
      <c r="S95" s="155">
        <v>2</v>
      </c>
      <c r="T95" s="158" t="s">
        <v>759</v>
      </c>
      <c r="U95" s="153"/>
      <c r="V95" s="153"/>
      <c r="W95" s="153"/>
      <c r="X95" s="153"/>
      <c r="Y95" s="153"/>
      <c r="Z95" s="153"/>
      <c r="AA95" s="155">
        <v>6.6</v>
      </c>
      <c r="AB95" s="145"/>
      <c r="AC95" s="153"/>
      <c r="AD95" s="153"/>
      <c r="AE95" s="155"/>
      <c r="AF95" s="155"/>
      <c r="AG95" s="156">
        <v>82.878600000000006</v>
      </c>
      <c r="AH95" s="146">
        <v>2</v>
      </c>
      <c r="AI95" s="145"/>
      <c r="AJ95" s="149"/>
      <c r="AK95" s="157">
        <f t="shared" si="1"/>
        <v>11.899999999999999</v>
      </c>
      <c r="AL95" s="151"/>
    </row>
    <row r="96" spans="1:38">
      <c r="A96" s="146">
        <v>509</v>
      </c>
      <c r="B96" s="144" t="s">
        <v>927</v>
      </c>
      <c r="C96" s="143" t="s">
        <v>156</v>
      </c>
      <c r="D96" s="143" t="s">
        <v>173</v>
      </c>
      <c r="E96" s="143" t="s">
        <v>174</v>
      </c>
      <c r="F96" s="143" t="s">
        <v>9</v>
      </c>
      <c r="G96" s="143" t="s">
        <v>127</v>
      </c>
      <c r="H96" s="143" t="s">
        <v>743</v>
      </c>
      <c r="I96" s="143" t="s">
        <v>141</v>
      </c>
      <c r="J96" s="145"/>
      <c r="K96" s="145"/>
      <c r="L96" s="153"/>
      <c r="M96" s="153"/>
      <c r="N96" s="153"/>
      <c r="O96" s="153"/>
      <c r="P96" s="153"/>
      <c r="Q96" s="154">
        <v>16.100000000000001</v>
      </c>
      <c r="R96" s="158" t="s">
        <v>754</v>
      </c>
      <c r="S96" s="155">
        <v>17.899999999999999</v>
      </c>
      <c r="T96" s="145"/>
      <c r="U96" s="153"/>
      <c r="V96" s="153"/>
      <c r="W96" s="153"/>
      <c r="X96" s="153"/>
      <c r="Y96" s="153"/>
      <c r="Z96" s="153"/>
      <c r="AA96" s="153"/>
      <c r="AB96" s="145"/>
      <c r="AC96" s="153"/>
      <c r="AD96" s="153"/>
      <c r="AE96" s="155"/>
      <c r="AF96" s="155"/>
      <c r="AG96" s="156">
        <v>35.1738</v>
      </c>
      <c r="AH96" s="146">
        <v>57</v>
      </c>
      <c r="AI96" s="145"/>
      <c r="AJ96" s="149"/>
      <c r="AK96" s="157">
        <f t="shared" ref="AK96:AK133" si="2">SUM(K96:AF96)</f>
        <v>34</v>
      </c>
      <c r="AL96" s="151"/>
    </row>
    <row r="97" spans="1:38">
      <c r="A97" s="146">
        <v>510</v>
      </c>
      <c r="B97" s="144" t="s">
        <v>928</v>
      </c>
      <c r="C97" s="143" t="s">
        <v>156</v>
      </c>
      <c r="D97" s="143" t="s">
        <v>175</v>
      </c>
      <c r="E97" s="143" t="s">
        <v>176</v>
      </c>
      <c r="F97" s="143" t="s">
        <v>9</v>
      </c>
      <c r="G97" s="143" t="s">
        <v>127</v>
      </c>
      <c r="H97" s="143" t="s">
        <v>743</v>
      </c>
      <c r="I97" s="143" t="s">
        <v>141</v>
      </c>
      <c r="J97" s="145"/>
      <c r="K97" s="145"/>
      <c r="L97" s="153"/>
      <c r="M97" s="153"/>
      <c r="N97" s="153"/>
      <c r="O97" s="153"/>
      <c r="P97" s="153"/>
      <c r="Q97" s="154">
        <v>5.3</v>
      </c>
      <c r="R97" s="158" t="s">
        <v>177</v>
      </c>
      <c r="S97" s="153"/>
      <c r="T97" s="153"/>
      <c r="U97" s="153"/>
      <c r="V97" s="153"/>
      <c r="W97" s="153"/>
      <c r="X97" s="153"/>
      <c r="Y97" s="153"/>
      <c r="Z97" s="153"/>
      <c r="AA97" s="159" t="s">
        <v>37</v>
      </c>
      <c r="AB97" s="143" t="s">
        <v>744</v>
      </c>
      <c r="AC97" s="153"/>
      <c r="AD97" s="155">
        <v>7</v>
      </c>
      <c r="AE97" s="154"/>
      <c r="AF97" s="155"/>
      <c r="AG97" s="156">
        <v>44.198599999999999</v>
      </c>
      <c r="AH97" s="146">
        <v>5</v>
      </c>
      <c r="AI97" s="143" t="s">
        <v>929</v>
      </c>
      <c r="AJ97" s="149"/>
      <c r="AK97" s="157">
        <f t="shared" si="2"/>
        <v>12.3</v>
      </c>
      <c r="AL97" s="151"/>
    </row>
    <row r="98" spans="1:38">
      <c r="A98" s="146">
        <v>511</v>
      </c>
      <c r="B98" s="144" t="s">
        <v>930</v>
      </c>
      <c r="C98" s="143" t="s">
        <v>156</v>
      </c>
      <c r="D98" s="143" t="s">
        <v>178</v>
      </c>
      <c r="E98" s="143" t="s">
        <v>179</v>
      </c>
      <c r="F98" s="143" t="s">
        <v>9</v>
      </c>
      <c r="G98" s="143" t="s">
        <v>10</v>
      </c>
      <c r="H98" s="143" t="s">
        <v>743</v>
      </c>
      <c r="I98" s="143" t="s">
        <v>141</v>
      </c>
      <c r="J98" s="145"/>
      <c r="K98" s="145"/>
      <c r="L98" s="153"/>
      <c r="M98" s="158" t="s">
        <v>744</v>
      </c>
      <c r="N98" s="153"/>
      <c r="O98" s="155">
        <v>8.4</v>
      </c>
      <c r="P98" s="154">
        <v>1.1000000000000001</v>
      </c>
      <c r="Q98" s="154">
        <v>6.4</v>
      </c>
      <c r="R98" s="158" t="s">
        <v>754</v>
      </c>
      <c r="S98" s="155">
        <v>2.6</v>
      </c>
      <c r="T98" s="158" t="s">
        <v>759</v>
      </c>
      <c r="U98" s="153"/>
      <c r="V98" s="153"/>
      <c r="W98" s="153"/>
      <c r="X98" s="153"/>
      <c r="Y98" s="153"/>
      <c r="Z98" s="153"/>
      <c r="AA98" s="155">
        <v>17.3</v>
      </c>
      <c r="AB98" s="143" t="s">
        <v>744</v>
      </c>
      <c r="AC98" s="153"/>
      <c r="AD98" s="160">
        <v>-1.2</v>
      </c>
      <c r="AE98" s="154"/>
      <c r="AF98" s="155"/>
      <c r="AG98" s="156">
        <v>32.191600000000001</v>
      </c>
      <c r="AH98" s="146">
        <v>5</v>
      </c>
      <c r="AI98" s="145"/>
      <c r="AJ98" s="149"/>
      <c r="AK98" s="157">
        <f t="shared" si="2"/>
        <v>34.599999999999994</v>
      </c>
      <c r="AL98" s="151"/>
    </row>
    <row r="99" spans="1:38">
      <c r="A99" s="146">
        <v>601</v>
      </c>
      <c r="B99" s="144" t="s">
        <v>931</v>
      </c>
      <c r="C99" s="143" t="s">
        <v>180</v>
      </c>
      <c r="D99" s="143" t="s">
        <v>932</v>
      </c>
      <c r="E99" s="143" t="s">
        <v>181</v>
      </c>
      <c r="F99" s="143" t="s">
        <v>9</v>
      </c>
      <c r="G99" s="143" t="s">
        <v>127</v>
      </c>
      <c r="H99" s="143" t="s">
        <v>743</v>
      </c>
      <c r="I99" s="143" t="s">
        <v>141</v>
      </c>
      <c r="J99" s="145"/>
      <c r="K99" s="145"/>
      <c r="L99" s="153"/>
      <c r="M99" s="153"/>
      <c r="N99" s="153"/>
      <c r="O99" s="153"/>
      <c r="P99" s="153"/>
      <c r="Q99" s="154">
        <v>1.5</v>
      </c>
      <c r="R99" s="158" t="s">
        <v>754</v>
      </c>
      <c r="S99" s="155">
        <v>-0.2</v>
      </c>
      <c r="T99" s="158" t="s">
        <v>759</v>
      </c>
      <c r="U99" s="153"/>
      <c r="V99" s="153"/>
      <c r="W99" s="153"/>
      <c r="X99" s="153"/>
      <c r="Y99" s="153"/>
      <c r="Z99" s="153"/>
      <c r="AA99" s="155">
        <v>4</v>
      </c>
      <c r="AB99" s="145"/>
      <c r="AC99" s="153"/>
      <c r="AD99" s="153"/>
      <c r="AE99" s="155"/>
      <c r="AF99" s="155"/>
      <c r="AG99" s="156">
        <v>77.460999999999999</v>
      </c>
      <c r="AH99" s="146">
        <v>2</v>
      </c>
      <c r="AI99" s="143" t="s">
        <v>933</v>
      </c>
      <c r="AJ99" s="149"/>
      <c r="AK99" s="157">
        <f t="shared" si="2"/>
        <v>5.3</v>
      </c>
      <c r="AL99" s="151"/>
    </row>
    <row r="100" spans="1:38">
      <c r="A100" s="146">
        <v>602</v>
      </c>
      <c r="B100" s="144" t="s">
        <v>934</v>
      </c>
      <c r="C100" s="143" t="s">
        <v>180</v>
      </c>
      <c r="D100" s="143" t="s">
        <v>182</v>
      </c>
      <c r="E100" s="143" t="s">
        <v>183</v>
      </c>
      <c r="F100" s="143" t="s">
        <v>12</v>
      </c>
      <c r="G100" s="143" t="s">
        <v>31</v>
      </c>
      <c r="H100" s="143" t="s">
        <v>743</v>
      </c>
      <c r="I100" s="143" t="s">
        <v>98</v>
      </c>
      <c r="J100" s="145"/>
      <c r="K100" s="145"/>
      <c r="L100" s="153"/>
      <c r="M100" s="153"/>
      <c r="N100" s="153"/>
      <c r="O100" s="153"/>
      <c r="P100" s="154">
        <v>6.4</v>
      </c>
      <c r="Q100" s="154">
        <v>0.4</v>
      </c>
      <c r="R100" s="158" t="s">
        <v>754</v>
      </c>
      <c r="S100" s="155">
        <v>0.7</v>
      </c>
      <c r="T100" s="158" t="s">
        <v>759</v>
      </c>
      <c r="U100" s="153"/>
      <c r="V100" s="153"/>
      <c r="W100" s="153"/>
      <c r="X100" s="153"/>
      <c r="Y100" s="153"/>
      <c r="Z100" s="153"/>
      <c r="AA100" s="155">
        <v>0</v>
      </c>
      <c r="AB100" s="145"/>
      <c r="AC100" s="153"/>
      <c r="AD100" s="153"/>
      <c r="AE100" s="155"/>
      <c r="AF100" s="155"/>
      <c r="AG100" s="156">
        <v>94.951300000000003</v>
      </c>
      <c r="AH100" s="146">
        <v>2</v>
      </c>
      <c r="AI100" s="145"/>
      <c r="AJ100" s="149"/>
      <c r="AK100" s="157">
        <f t="shared" si="2"/>
        <v>7.5000000000000009</v>
      </c>
      <c r="AL100" s="151"/>
    </row>
    <row r="101" spans="1:38">
      <c r="A101" s="146">
        <v>603</v>
      </c>
      <c r="B101" s="144" t="s">
        <v>935</v>
      </c>
      <c r="C101" s="143" t="s">
        <v>180</v>
      </c>
      <c r="D101" s="143" t="s">
        <v>184</v>
      </c>
      <c r="E101" s="143" t="s">
        <v>185</v>
      </c>
      <c r="F101" s="143" t="s">
        <v>12</v>
      </c>
      <c r="G101" s="143" t="s">
        <v>31</v>
      </c>
      <c r="H101" s="143" t="s">
        <v>743</v>
      </c>
      <c r="I101" s="143" t="s">
        <v>98</v>
      </c>
      <c r="J101" s="145"/>
      <c r="K101" s="145"/>
      <c r="L101" s="153"/>
      <c r="M101" s="153"/>
      <c r="N101" s="153"/>
      <c r="O101" s="153"/>
      <c r="P101" s="154">
        <v>6</v>
      </c>
      <c r="Q101" s="154">
        <v>-2.7</v>
      </c>
      <c r="R101" s="158" t="s">
        <v>754</v>
      </c>
      <c r="S101" s="155">
        <v>-0.4</v>
      </c>
      <c r="T101" s="158" t="s">
        <v>759</v>
      </c>
      <c r="U101" s="153"/>
      <c r="V101" s="153"/>
      <c r="W101" s="153"/>
      <c r="X101" s="153"/>
      <c r="Y101" s="153"/>
      <c r="Z101" s="153"/>
      <c r="AA101" s="155">
        <v>1.4</v>
      </c>
      <c r="AB101" s="145"/>
      <c r="AC101" s="153"/>
      <c r="AD101" s="153"/>
      <c r="AE101" s="155"/>
      <c r="AF101" s="155"/>
      <c r="AG101" s="156">
        <v>75.955500000000001</v>
      </c>
      <c r="AH101" s="146">
        <v>2</v>
      </c>
      <c r="AI101" s="145"/>
      <c r="AJ101" s="149"/>
      <c r="AK101" s="157">
        <f t="shared" si="2"/>
        <v>4.3</v>
      </c>
      <c r="AL101" s="151"/>
    </row>
    <row r="102" spans="1:38">
      <c r="A102" s="146">
        <v>701</v>
      </c>
      <c r="B102" s="144" t="s">
        <v>936</v>
      </c>
      <c r="C102" s="143" t="s">
        <v>186</v>
      </c>
      <c r="D102" s="143" t="s">
        <v>937</v>
      </c>
      <c r="E102" s="143" t="s">
        <v>187</v>
      </c>
      <c r="F102" s="143" t="s">
        <v>9</v>
      </c>
      <c r="G102" s="143" t="s">
        <v>19</v>
      </c>
      <c r="H102" s="143" t="s">
        <v>743</v>
      </c>
      <c r="I102" s="143" t="s">
        <v>98</v>
      </c>
      <c r="J102" s="145"/>
      <c r="K102" s="154">
        <v>11</v>
      </c>
      <c r="L102" s="154">
        <v>8.5</v>
      </c>
      <c r="M102" s="154">
        <v>3.9</v>
      </c>
      <c r="N102" s="158" t="s">
        <v>754</v>
      </c>
      <c r="O102" s="155">
        <v>18</v>
      </c>
      <c r="P102" s="154">
        <v>10.1</v>
      </c>
      <c r="Q102" s="154">
        <v>7.9</v>
      </c>
      <c r="R102" s="154">
        <v>-5.9</v>
      </c>
      <c r="S102" s="154">
        <v>6.6</v>
      </c>
      <c r="T102" s="154">
        <v>4.4000000000000004</v>
      </c>
      <c r="U102" s="154">
        <v>2.4</v>
      </c>
      <c r="V102" s="154">
        <v>5</v>
      </c>
      <c r="W102" s="154">
        <v>1.5</v>
      </c>
      <c r="X102" s="154">
        <v>-4.8</v>
      </c>
      <c r="Y102" s="146">
        <v>6.4</v>
      </c>
      <c r="Z102" s="154">
        <v>4.3</v>
      </c>
      <c r="AA102" s="154">
        <v>1.6</v>
      </c>
      <c r="AB102" s="154">
        <v>5.7</v>
      </c>
      <c r="AC102" s="154">
        <v>0.7</v>
      </c>
      <c r="AD102" s="146">
        <v>-3.4</v>
      </c>
      <c r="AE102" s="154">
        <v>2.8</v>
      </c>
      <c r="AF102" s="154">
        <v>4.5999999999999996</v>
      </c>
      <c r="AG102" s="156">
        <v>10.6867</v>
      </c>
      <c r="AH102" s="146">
        <v>7</v>
      </c>
      <c r="AI102" s="145"/>
      <c r="AJ102" s="149"/>
      <c r="AK102" s="157">
        <f t="shared" si="2"/>
        <v>91.3</v>
      </c>
      <c r="AL102" s="151"/>
    </row>
    <row r="103" spans="1:38">
      <c r="A103" s="146">
        <v>702</v>
      </c>
      <c r="B103" s="144" t="s">
        <v>938</v>
      </c>
      <c r="C103" s="143" t="s">
        <v>186</v>
      </c>
      <c r="D103" s="143" t="s">
        <v>939</v>
      </c>
      <c r="E103" s="143" t="s">
        <v>940</v>
      </c>
      <c r="F103" s="143" t="s">
        <v>9</v>
      </c>
      <c r="G103" s="143" t="s">
        <v>19</v>
      </c>
      <c r="H103" s="143" t="s">
        <v>743</v>
      </c>
      <c r="I103" s="143" t="s">
        <v>54</v>
      </c>
      <c r="J103" s="145"/>
      <c r="K103" s="154">
        <v>6.5</v>
      </c>
      <c r="L103" s="154">
        <v>5.6</v>
      </c>
      <c r="M103" s="154">
        <v>1.6</v>
      </c>
      <c r="N103" s="158" t="s">
        <v>754</v>
      </c>
      <c r="O103" s="155">
        <v>27.6</v>
      </c>
      <c r="P103" s="154">
        <v>8</v>
      </c>
      <c r="Q103" s="154">
        <v>5.8</v>
      </c>
      <c r="R103" s="154">
        <v>-9.6</v>
      </c>
      <c r="S103" s="154">
        <v>11.1</v>
      </c>
      <c r="T103" s="154">
        <v>5</v>
      </c>
      <c r="U103" s="154">
        <v>10.1</v>
      </c>
      <c r="V103" s="154">
        <v>4.3</v>
      </c>
      <c r="W103" s="154">
        <v>2.4</v>
      </c>
      <c r="X103" s="154">
        <v>-3.9</v>
      </c>
      <c r="Y103" s="146">
        <v>4.7</v>
      </c>
      <c r="Z103" s="154">
        <v>6.2</v>
      </c>
      <c r="AA103" s="154">
        <v>-3.7</v>
      </c>
      <c r="AB103" s="154">
        <v>8.9</v>
      </c>
      <c r="AC103" s="154">
        <v>-1.3</v>
      </c>
      <c r="AD103" s="146">
        <v>-1.5</v>
      </c>
      <c r="AE103" s="154">
        <v>2</v>
      </c>
      <c r="AF103" s="154">
        <v>4.0999999999999996</v>
      </c>
      <c r="AG103" s="156">
        <v>6.5763999999999996</v>
      </c>
      <c r="AH103" s="146">
        <v>7</v>
      </c>
      <c r="AI103" s="145"/>
      <c r="AJ103" s="149"/>
      <c r="AK103" s="157">
        <f t="shared" si="2"/>
        <v>93.899999999999991</v>
      </c>
      <c r="AL103" s="151"/>
    </row>
    <row r="104" spans="1:38">
      <c r="A104" s="146">
        <v>703</v>
      </c>
      <c r="B104" s="144" t="s">
        <v>941</v>
      </c>
      <c r="C104" s="143" t="s">
        <v>186</v>
      </c>
      <c r="D104" s="143" t="s">
        <v>942</v>
      </c>
      <c r="E104" s="143" t="s">
        <v>943</v>
      </c>
      <c r="F104" s="143" t="s">
        <v>12</v>
      </c>
      <c r="G104" s="143" t="s">
        <v>19</v>
      </c>
      <c r="H104" s="143" t="s">
        <v>743</v>
      </c>
      <c r="I104" s="143" t="s">
        <v>763</v>
      </c>
      <c r="J104" s="145"/>
      <c r="K104" s="154">
        <v>2.2000000000000002</v>
      </c>
      <c r="L104" s="154">
        <v>4</v>
      </c>
      <c r="M104" s="154">
        <v>-3.2</v>
      </c>
      <c r="N104" s="154">
        <v>6.6</v>
      </c>
      <c r="O104" s="154">
        <v>1.1000000000000001</v>
      </c>
      <c r="P104" s="154">
        <v>0.9</v>
      </c>
      <c r="Q104" s="154">
        <v>3</v>
      </c>
      <c r="R104" s="154">
        <v>-3.9</v>
      </c>
      <c r="S104" s="154">
        <v>2.5</v>
      </c>
      <c r="T104" s="154">
        <v>-0.5</v>
      </c>
      <c r="U104" s="154">
        <v>3.2</v>
      </c>
      <c r="V104" s="154">
        <v>1.2</v>
      </c>
      <c r="W104" s="154">
        <v>0</v>
      </c>
      <c r="X104" s="154">
        <v>-4.5999999999999996</v>
      </c>
      <c r="Y104" s="146">
        <v>5.2</v>
      </c>
      <c r="Z104" s="154">
        <v>1.7</v>
      </c>
      <c r="AA104" s="154">
        <v>0</v>
      </c>
      <c r="AB104" s="154">
        <v>2.4</v>
      </c>
      <c r="AC104" s="154">
        <v>-1.2</v>
      </c>
      <c r="AD104" s="146">
        <v>-2.1</v>
      </c>
      <c r="AE104" s="154">
        <v>0.8</v>
      </c>
      <c r="AF104" s="154">
        <v>1.4</v>
      </c>
      <c r="AG104" s="156">
        <v>15.821099999999999</v>
      </c>
      <c r="AH104" s="146">
        <v>7</v>
      </c>
      <c r="AI104" s="145"/>
      <c r="AJ104" s="149"/>
      <c r="AK104" s="157">
        <f t="shared" si="2"/>
        <v>20.699999999999996</v>
      </c>
      <c r="AL104" s="151"/>
    </row>
    <row r="105" spans="1:38">
      <c r="A105" s="146">
        <v>704</v>
      </c>
      <c r="B105" s="144" t="s">
        <v>944</v>
      </c>
      <c r="C105" s="143" t="s">
        <v>186</v>
      </c>
      <c r="D105" s="143" t="s">
        <v>945</v>
      </c>
      <c r="E105" s="143" t="s">
        <v>188</v>
      </c>
      <c r="F105" s="143" t="s">
        <v>12</v>
      </c>
      <c r="G105" s="143" t="s">
        <v>19</v>
      </c>
      <c r="H105" s="143" t="s">
        <v>743</v>
      </c>
      <c r="I105" s="143" t="s">
        <v>98</v>
      </c>
      <c r="J105" s="145"/>
      <c r="K105" s="154">
        <v>9.9</v>
      </c>
      <c r="L105" s="154">
        <v>1.5</v>
      </c>
      <c r="M105" s="154">
        <v>-0.1</v>
      </c>
      <c r="N105" s="154">
        <v>0.8</v>
      </c>
      <c r="O105" s="154">
        <v>4.0999999999999996</v>
      </c>
      <c r="P105" s="154">
        <v>0.8</v>
      </c>
      <c r="Q105" s="154">
        <v>2.2999999999999998</v>
      </c>
      <c r="R105" s="154">
        <v>-3.7</v>
      </c>
      <c r="S105" s="154">
        <v>2.2999999999999998</v>
      </c>
      <c r="T105" s="154">
        <v>-0.2</v>
      </c>
      <c r="U105" s="154">
        <v>-0.3</v>
      </c>
      <c r="V105" s="154">
        <v>1.3</v>
      </c>
      <c r="W105" s="154">
        <v>1.2</v>
      </c>
      <c r="X105" s="154">
        <v>-1.8</v>
      </c>
      <c r="Y105" s="146">
        <v>3.4</v>
      </c>
      <c r="Z105" s="154">
        <v>-1.7</v>
      </c>
      <c r="AA105" s="154">
        <v>0.8</v>
      </c>
      <c r="AB105" s="154">
        <v>1.5</v>
      </c>
      <c r="AC105" s="154">
        <v>-0.5</v>
      </c>
      <c r="AD105" s="154">
        <v>2</v>
      </c>
      <c r="AE105" s="154">
        <v>-0.1</v>
      </c>
      <c r="AF105" s="154">
        <v>0.3</v>
      </c>
      <c r="AG105" s="156">
        <v>33.735900000000001</v>
      </c>
      <c r="AH105" s="146">
        <v>7</v>
      </c>
      <c r="AI105" s="145"/>
      <c r="AJ105" s="149"/>
      <c r="AK105" s="157">
        <f t="shared" si="2"/>
        <v>23.800000000000004</v>
      </c>
      <c r="AL105" s="151"/>
    </row>
    <row r="106" spans="1:38">
      <c r="A106" s="146">
        <v>705</v>
      </c>
      <c r="B106" s="144" t="s">
        <v>946</v>
      </c>
      <c r="C106" s="143" t="s">
        <v>186</v>
      </c>
      <c r="D106" s="143" t="s">
        <v>189</v>
      </c>
      <c r="E106" s="143" t="s">
        <v>190</v>
      </c>
      <c r="F106" s="143" t="s">
        <v>12</v>
      </c>
      <c r="G106" s="143" t="s">
        <v>19</v>
      </c>
      <c r="H106" s="143" t="s">
        <v>743</v>
      </c>
      <c r="I106" s="143" t="s">
        <v>98</v>
      </c>
      <c r="J106" s="145"/>
      <c r="K106" s="154">
        <v>9.8000000000000007</v>
      </c>
      <c r="L106" s="154">
        <v>-2.2000000000000002</v>
      </c>
      <c r="M106" s="154">
        <v>-2.5</v>
      </c>
      <c r="N106" s="154">
        <v>10.6</v>
      </c>
      <c r="O106" s="154">
        <v>5.4</v>
      </c>
      <c r="P106" s="154">
        <v>1</v>
      </c>
      <c r="Q106" s="154">
        <v>0.6</v>
      </c>
      <c r="R106" s="154">
        <v>-3.6</v>
      </c>
      <c r="S106" s="154">
        <v>3</v>
      </c>
      <c r="T106" s="154">
        <v>-1.7</v>
      </c>
      <c r="U106" s="154">
        <v>1.6</v>
      </c>
      <c r="V106" s="154">
        <v>3.3</v>
      </c>
      <c r="W106" s="154">
        <v>0.4</v>
      </c>
      <c r="X106" s="154">
        <v>-1.6</v>
      </c>
      <c r="Y106" s="143" t="s">
        <v>744</v>
      </c>
      <c r="Z106" s="145"/>
      <c r="AA106" s="154">
        <v>0.6</v>
      </c>
      <c r="AB106" s="154">
        <v>2.2000000000000002</v>
      </c>
      <c r="AC106" s="154">
        <v>-0.9</v>
      </c>
      <c r="AD106" s="146">
        <v>1.1000000000000001</v>
      </c>
      <c r="AE106" s="154">
        <v>0.3</v>
      </c>
      <c r="AF106" s="154">
        <v>0.9</v>
      </c>
      <c r="AG106" s="156">
        <v>26.918500000000002</v>
      </c>
      <c r="AH106" s="146">
        <v>7</v>
      </c>
      <c r="AI106" s="143" t="s">
        <v>745</v>
      </c>
      <c r="AJ106" s="149"/>
      <c r="AK106" s="157">
        <f t="shared" si="2"/>
        <v>28.300000000000004</v>
      </c>
      <c r="AL106" s="151"/>
    </row>
    <row r="107" spans="1:38">
      <c r="A107" s="146">
        <v>706</v>
      </c>
      <c r="B107" s="144" t="s">
        <v>947</v>
      </c>
      <c r="C107" s="143" t="s">
        <v>186</v>
      </c>
      <c r="D107" s="143" t="s">
        <v>189</v>
      </c>
      <c r="E107" s="143" t="s">
        <v>190</v>
      </c>
      <c r="F107" s="143" t="s">
        <v>9</v>
      </c>
      <c r="G107" s="143" t="s">
        <v>19</v>
      </c>
      <c r="H107" s="143" t="s">
        <v>743</v>
      </c>
      <c r="I107" s="143" t="s">
        <v>98</v>
      </c>
      <c r="J107" s="145"/>
      <c r="K107" s="158" t="s">
        <v>754</v>
      </c>
      <c r="L107" s="154">
        <v>12.9</v>
      </c>
      <c r="M107" s="154">
        <v>-2.1</v>
      </c>
      <c r="N107" s="154">
        <v>0.1</v>
      </c>
      <c r="O107" s="154">
        <v>6.1</v>
      </c>
      <c r="P107" s="154">
        <v>1.2</v>
      </c>
      <c r="Q107" s="154">
        <v>1.4</v>
      </c>
      <c r="R107" s="154">
        <v>-3.4</v>
      </c>
      <c r="S107" s="154">
        <v>3.5</v>
      </c>
      <c r="T107" s="154">
        <v>-1.7</v>
      </c>
      <c r="U107" s="154">
        <v>2.2999999999999998</v>
      </c>
      <c r="V107" s="154">
        <v>3.7</v>
      </c>
      <c r="W107" s="154">
        <v>1</v>
      </c>
      <c r="X107" s="154">
        <v>-1.6</v>
      </c>
      <c r="Y107" s="154">
        <v>4</v>
      </c>
      <c r="Z107" s="154">
        <v>-0.8</v>
      </c>
      <c r="AA107" s="154">
        <v>-2.6</v>
      </c>
      <c r="AB107" s="154">
        <v>2.6</v>
      </c>
      <c r="AC107" s="154">
        <v>-0.7</v>
      </c>
      <c r="AD107" s="146">
        <v>1.9</v>
      </c>
      <c r="AE107" s="158" t="s">
        <v>87</v>
      </c>
      <c r="AF107" s="154">
        <v>1.9</v>
      </c>
      <c r="AG107" s="156">
        <v>26.590599999999998</v>
      </c>
      <c r="AH107" s="146">
        <v>7</v>
      </c>
      <c r="AI107" s="143" t="s">
        <v>948</v>
      </c>
      <c r="AJ107" s="149"/>
      <c r="AK107" s="157">
        <f t="shared" si="2"/>
        <v>29.699999999999996</v>
      </c>
      <c r="AL107" s="151"/>
    </row>
    <row r="108" spans="1:38">
      <c r="A108" s="146">
        <v>707</v>
      </c>
      <c r="B108" s="144" t="s">
        <v>949</v>
      </c>
      <c r="C108" s="143" t="s">
        <v>186</v>
      </c>
      <c r="D108" s="143" t="s">
        <v>191</v>
      </c>
      <c r="E108" s="143" t="s">
        <v>192</v>
      </c>
      <c r="F108" s="143" t="s">
        <v>9</v>
      </c>
      <c r="G108" s="143" t="s">
        <v>19</v>
      </c>
      <c r="H108" s="143" t="s">
        <v>743</v>
      </c>
      <c r="I108" s="143" t="s">
        <v>54</v>
      </c>
      <c r="J108" s="145"/>
      <c r="K108" s="158" t="s">
        <v>754</v>
      </c>
      <c r="L108" s="154">
        <v>121.1</v>
      </c>
      <c r="M108" s="154">
        <v>56.7</v>
      </c>
      <c r="N108" s="154">
        <v>10.199999999999999</v>
      </c>
      <c r="O108" s="154">
        <v>49.7</v>
      </c>
      <c r="P108" s="154">
        <v>9</v>
      </c>
      <c r="Q108" s="154">
        <v>3.2</v>
      </c>
      <c r="R108" s="154">
        <v>-4.4000000000000004</v>
      </c>
      <c r="S108" s="154">
        <v>7.9</v>
      </c>
      <c r="T108" s="154">
        <v>5.6</v>
      </c>
      <c r="U108" s="154">
        <v>19.899999999999999</v>
      </c>
      <c r="V108" s="154">
        <v>10.199999999999999</v>
      </c>
      <c r="W108" s="154">
        <v>1.4</v>
      </c>
      <c r="X108" s="154">
        <v>-1.6</v>
      </c>
      <c r="Y108" s="146">
        <v>4.7</v>
      </c>
      <c r="Z108" s="154">
        <v>-0.6</v>
      </c>
      <c r="AA108" s="154">
        <v>1.6</v>
      </c>
      <c r="AB108" s="154">
        <v>7.3</v>
      </c>
      <c r="AC108" s="154">
        <v>-0.5</v>
      </c>
      <c r="AD108" s="146">
        <v>1.7</v>
      </c>
      <c r="AE108" s="154">
        <v>0.8</v>
      </c>
      <c r="AF108" s="154">
        <v>3.1</v>
      </c>
      <c r="AG108" s="156">
        <v>9.1648999999999994</v>
      </c>
      <c r="AH108" s="146">
        <v>7</v>
      </c>
      <c r="AI108" s="145"/>
      <c r="AJ108" s="149"/>
      <c r="AK108" s="157">
        <f t="shared" si="2"/>
        <v>306.99999999999994</v>
      </c>
      <c r="AL108" s="151"/>
    </row>
    <row r="109" spans="1:38">
      <c r="A109" s="146">
        <v>708</v>
      </c>
      <c r="B109" s="144" t="s">
        <v>950</v>
      </c>
      <c r="C109" s="143" t="s">
        <v>186</v>
      </c>
      <c r="D109" s="143" t="s">
        <v>193</v>
      </c>
      <c r="E109" s="143" t="s">
        <v>951</v>
      </c>
      <c r="F109" s="143" t="s">
        <v>9</v>
      </c>
      <c r="G109" s="143" t="s">
        <v>19</v>
      </c>
      <c r="H109" s="143" t="s">
        <v>743</v>
      </c>
      <c r="I109" s="143" t="s">
        <v>763</v>
      </c>
      <c r="J109" s="145"/>
      <c r="K109" s="158" t="s">
        <v>754</v>
      </c>
      <c r="L109" s="154">
        <v>54.5</v>
      </c>
      <c r="M109" s="154">
        <v>1.8</v>
      </c>
      <c r="N109" s="154">
        <v>1.1000000000000001</v>
      </c>
      <c r="O109" s="154">
        <v>7.8</v>
      </c>
      <c r="P109" s="154">
        <v>2.6</v>
      </c>
      <c r="Q109" s="154">
        <v>2.2000000000000002</v>
      </c>
      <c r="R109" s="154">
        <v>-5.9</v>
      </c>
      <c r="S109" s="154">
        <v>6.1</v>
      </c>
      <c r="T109" s="154">
        <v>-2.1</v>
      </c>
      <c r="U109" s="154">
        <v>9.1</v>
      </c>
      <c r="V109" s="154">
        <v>3.6</v>
      </c>
      <c r="W109" s="154">
        <v>-0.7</v>
      </c>
      <c r="X109" s="154">
        <v>-0.5</v>
      </c>
      <c r="Y109" s="146">
        <v>3.7</v>
      </c>
      <c r="Z109" s="154">
        <v>-0.7</v>
      </c>
      <c r="AA109" s="154">
        <v>-0.8</v>
      </c>
      <c r="AB109" s="154">
        <v>2.9</v>
      </c>
      <c r="AC109" s="154">
        <v>-0.3</v>
      </c>
      <c r="AD109" s="146">
        <v>0.1</v>
      </c>
      <c r="AE109" s="154">
        <v>0.6</v>
      </c>
      <c r="AF109" s="154">
        <v>2.4</v>
      </c>
      <c r="AG109" s="156">
        <v>12.899699999999999</v>
      </c>
      <c r="AH109" s="146">
        <v>7</v>
      </c>
      <c r="AI109" s="145"/>
      <c r="AJ109" s="149"/>
      <c r="AK109" s="157">
        <f t="shared" si="2"/>
        <v>87.499999999999986</v>
      </c>
      <c r="AL109" s="151"/>
    </row>
    <row r="110" spans="1:38">
      <c r="A110" s="146">
        <v>709</v>
      </c>
      <c r="B110" s="144" t="s">
        <v>952</v>
      </c>
      <c r="C110" s="143" t="s">
        <v>186</v>
      </c>
      <c r="D110" s="143" t="s">
        <v>194</v>
      </c>
      <c r="E110" s="143" t="s">
        <v>195</v>
      </c>
      <c r="F110" s="143" t="s">
        <v>12</v>
      </c>
      <c r="G110" s="143" t="s">
        <v>19</v>
      </c>
      <c r="H110" s="143" t="s">
        <v>743</v>
      </c>
      <c r="I110" s="143" t="s">
        <v>98</v>
      </c>
      <c r="J110" s="145"/>
      <c r="K110" s="154">
        <v>26.4</v>
      </c>
      <c r="L110" s="154">
        <v>-4.5999999999999996</v>
      </c>
      <c r="M110" s="154">
        <v>-4.0999999999999996</v>
      </c>
      <c r="N110" s="158" t="s">
        <v>754</v>
      </c>
      <c r="O110" s="155">
        <v>7.5</v>
      </c>
      <c r="P110" s="154">
        <v>0.2</v>
      </c>
      <c r="Q110" s="154">
        <v>2.5</v>
      </c>
      <c r="R110" s="154">
        <v>-4.4000000000000004</v>
      </c>
      <c r="S110" s="154">
        <v>3.2</v>
      </c>
      <c r="T110" s="154">
        <v>-1.6</v>
      </c>
      <c r="U110" s="154">
        <v>1.8</v>
      </c>
      <c r="V110" s="154">
        <v>5.7</v>
      </c>
      <c r="W110" s="154">
        <v>-0.9</v>
      </c>
      <c r="X110" s="158" t="s">
        <v>756</v>
      </c>
      <c r="Y110" s="153"/>
      <c r="Z110" s="153"/>
      <c r="AA110" s="155">
        <v>2.2000000000000002</v>
      </c>
      <c r="AB110" s="143" t="s">
        <v>744</v>
      </c>
      <c r="AC110" s="153"/>
      <c r="AD110" s="155">
        <v>3</v>
      </c>
      <c r="AE110" s="154"/>
      <c r="AF110" s="155"/>
      <c r="AG110" s="156">
        <v>23.744800000000001</v>
      </c>
      <c r="AH110" s="146">
        <v>5</v>
      </c>
      <c r="AI110" s="145"/>
      <c r="AJ110" s="149"/>
      <c r="AK110" s="157">
        <f t="shared" si="2"/>
        <v>36.9</v>
      </c>
      <c r="AL110" s="151"/>
    </row>
    <row r="111" spans="1:38">
      <c r="A111" s="146">
        <v>801</v>
      </c>
      <c r="B111" s="144" t="s">
        <v>953</v>
      </c>
      <c r="C111" s="143" t="s">
        <v>196</v>
      </c>
      <c r="D111" s="143" t="s">
        <v>197</v>
      </c>
      <c r="E111" s="143" t="s">
        <v>198</v>
      </c>
      <c r="F111" s="143" t="s">
        <v>9</v>
      </c>
      <c r="G111" s="143" t="s">
        <v>10</v>
      </c>
      <c r="H111" s="143" t="s">
        <v>743</v>
      </c>
      <c r="I111" s="143" t="s">
        <v>141</v>
      </c>
      <c r="J111" s="145"/>
      <c r="K111" s="145"/>
      <c r="L111" s="153"/>
      <c r="M111" s="158" t="s">
        <v>754</v>
      </c>
      <c r="N111" s="155">
        <v>-8.6999999999999993</v>
      </c>
      <c r="O111" s="154">
        <v>15.2</v>
      </c>
      <c r="P111" s="154">
        <v>2.9</v>
      </c>
      <c r="Q111" s="154">
        <v>10.5</v>
      </c>
      <c r="R111" s="158" t="s">
        <v>754</v>
      </c>
      <c r="S111" s="155">
        <v>-0.8</v>
      </c>
      <c r="T111" s="159" t="s">
        <v>754</v>
      </c>
      <c r="U111" s="155">
        <v>91</v>
      </c>
      <c r="V111" s="158" t="s">
        <v>775</v>
      </c>
      <c r="W111" s="153"/>
      <c r="X111" s="153"/>
      <c r="Y111" s="153"/>
      <c r="Z111" s="153"/>
      <c r="AA111" s="155">
        <v>-67.400000000000006</v>
      </c>
      <c r="AB111" s="143" t="s">
        <v>744</v>
      </c>
      <c r="AC111" s="153"/>
      <c r="AD111" s="160">
        <v>4.0999999999999996</v>
      </c>
      <c r="AE111" s="154"/>
      <c r="AF111" s="155"/>
      <c r="AG111" s="156">
        <v>28.406600000000001</v>
      </c>
      <c r="AH111" s="146">
        <v>5</v>
      </c>
      <c r="AI111" s="145"/>
      <c r="AJ111" s="149"/>
      <c r="AK111" s="157">
        <f t="shared" si="2"/>
        <v>46.79999999999999</v>
      </c>
      <c r="AL111" s="151"/>
    </row>
    <row r="112" spans="1:38">
      <c r="A112" s="146">
        <v>802</v>
      </c>
      <c r="B112" s="144" t="s">
        <v>954</v>
      </c>
      <c r="C112" s="143" t="s">
        <v>196</v>
      </c>
      <c r="D112" s="143" t="s">
        <v>199</v>
      </c>
      <c r="E112" s="143" t="s">
        <v>200</v>
      </c>
      <c r="F112" s="143" t="s">
        <v>12</v>
      </c>
      <c r="G112" s="143" t="s">
        <v>10</v>
      </c>
      <c r="H112" s="143" t="s">
        <v>743</v>
      </c>
      <c r="I112" s="143" t="s">
        <v>141</v>
      </c>
      <c r="J112" s="145"/>
      <c r="K112" s="145"/>
      <c r="L112" s="153"/>
      <c r="M112" s="154">
        <v>-3.6</v>
      </c>
      <c r="N112" s="154">
        <v>-3.9</v>
      </c>
      <c r="O112" s="154">
        <v>13.7</v>
      </c>
      <c r="P112" s="154">
        <v>4.8</v>
      </c>
      <c r="Q112" s="154">
        <v>12.3</v>
      </c>
      <c r="R112" s="158" t="s">
        <v>754</v>
      </c>
      <c r="S112" s="155">
        <v>-2.9</v>
      </c>
      <c r="T112" s="159" t="s">
        <v>754</v>
      </c>
      <c r="U112" s="155">
        <v>-0.5</v>
      </c>
      <c r="V112" s="158" t="s">
        <v>775</v>
      </c>
      <c r="W112" s="153"/>
      <c r="X112" s="153"/>
      <c r="Y112" s="153"/>
      <c r="Z112" s="153"/>
      <c r="AA112" s="155">
        <v>30.2</v>
      </c>
      <c r="AB112" s="143" t="s">
        <v>744</v>
      </c>
      <c r="AC112" s="153"/>
      <c r="AD112" s="160">
        <v>9.1999999999999993</v>
      </c>
      <c r="AE112" s="154"/>
      <c r="AF112" s="155"/>
      <c r="AG112" s="156">
        <v>23.693999999999999</v>
      </c>
      <c r="AH112" s="146">
        <v>5</v>
      </c>
      <c r="AI112" s="145"/>
      <c r="AJ112" s="149"/>
      <c r="AK112" s="157">
        <f t="shared" si="2"/>
        <v>59.3</v>
      </c>
      <c r="AL112" s="151"/>
    </row>
    <row r="113" spans="1:38">
      <c r="A113" s="146">
        <v>803</v>
      </c>
      <c r="B113" s="144" t="s">
        <v>955</v>
      </c>
      <c r="C113" s="143" t="s">
        <v>196</v>
      </c>
      <c r="D113" s="143" t="s">
        <v>201</v>
      </c>
      <c r="E113" s="143" t="s">
        <v>202</v>
      </c>
      <c r="F113" s="143" t="s">
        <v>12</v>
      </c>
      <c r="G113" s="143" t="s">
        <v>10</v>
      </c>
      <c r="H113" s="143" t="s">
        <v>743</v>
      </c>
      <c r="I113" s="143" t="s">
        <v>141</v>
      </c>
      <c r="J113" s="145"/>
      <c r="K113" s="145"/>
      <c r="L113" s="153"/>
      <c r="M113" s="154">
        <v>-2.6</v>
      </c>
      <c r="N113" s="154">
        <v>-3.3</v>
      </c>
      <c r="O113" s="154">
        <v>11.7</v>
      </c>
      <c r="P113" s="154">
        <v>5</v>
      </c>
      <c r="Q113" s="154">
        <v>12.9</v>
      </c>
      <c r="R113" s="158" t="s">
        <v>754</v>
      </c>
      <c r="S113" s="155">
        <v>4.7</v>
      </c>
      <c r="T113" s="158" t="s">
        <v>759</v>
      </c>
      <c r="U113" s="153"/>
      <c r="V113" s="153"/>
      <c r="W113" s="153"/>
      <c r="X113" s="153"/>
      <c r="Y113" s="153"/>
      <c r="Z113" s="153"/>
      <c r="AA113" s="155">
        <v>21.7</v>
      </c>
      <c r="AB113" s="143" t="s">
        <v>744</v>
      </c>
      <c r="AC113" s="153"/>
      <c r="AD113" s="160">
        <v>9.9</v>
      </c>
      <c r="AE113" s="154"/>
      <c r="AF113" s="155"/>
      <c r="AG113" s="156">
        <v>47.285800000000002</v>
      </c>
      <c r="AH113" s="146">
        <v>5</v>
      </c>
      <c r="AI113" s="145"/>
      <c r="AJ113" s="149"/>
      <c r="AK113" s="157">
        <f t="shared" si="2"/>
        <v>59.999999999999993</v>
      </c>
      <c r="AL113" s="151"/>
    </row>
    <row r="114" spans="1:38">
      <c r="A114" s="146">
        <v>804</v>
      </c>
      <c r="B114" s="144" t="s">
        <v>956</v>
      </c>
      <c r="C114" s="143" t="s">
        <v>196</v>
      </c>
      <c r="D114" s="143" t="s">
        <v>203</v>
      </c>
      <c r="E114" s="143" t="s">
        <v>957</v>
      </c>
      <c r="F114" s="143" t="s">
        <v>9</v>
      </c>
      <c r="G114" s="143" t="s">
        <v>10</v>
      </c>
      <c r="H114" s="143" t="s">
        <v>743</v>
      </c>
      <c r="I114" s="143" t="s">
        <v>141</v>
      </c>
      <c r="J114" s="145"/>
      <c r="K114" s="145"/>
      <c r="L114" s="153"/>
      <c r="M114" s="158" t="s">
        <v>754</v>
      </c>
      <c r="N114" s="155">
        <v>19.600000000000001</v>
      </c>
      <c r="O114" s="154">
        <v>11.4</v>
      </c>
      <c r="P114" s="154">
        <v>3.5</v>
      </c>
      <c r="Q114" s="154">
        <v>7.4</v>
      </c>
      <c r="R114" s="158" t="s">
        <v>754</v>
      </c>
      <c r="S114" s="155">
        <v>0.8</v>
      </c>
      <c r="T114" s="158" t="s">
        <v>759</v>
      </c>
      <c r="U114" s="153"/>
      <c r="V114" s="153"/>
      <c r="W114" s="153"/>
      <c r="X114" s="153"/>
      <c r="Y114" s="153"/>
      <c r="Z114" s="153"/>
      <c r="AA114" s="155">
        <v>22.7</v>
      </c>
      <c r="AB114" s="145"/>
      <c r="AC114" s="153"/>
      <c r="AD114" s="153"/>
      <c r="AE114" s="155"/>
      <c r="AF114" s="155"/>
      <c r="AG114" s="156">
        <v>39.252800000000001</v>
      </c>
      <c r="AH114" s="146">
        <v>2</v>
      </c>
      <c r="AI114" s="145"/>
      <c r="AJ114" s="149"/>
      <c r="AK114" s="157">
        <f t="shared" si="2"/>
        <v>65.399999999999991</v>
      </c>
      <c r="AL114" s="151"/>
    </row>
    <row r="115" spans="1:38">
      <c r="A115" s="146">
        <v>805</v>
      </c>
      <c r="B115" s="144" t="s">
        <v>958</v>
      </c>
      <c r="C115" s="143" t="s">
        <v>196</v>
      </c>
      <c r="D115" s="143" t="s">
        <v>204</v>
      </c>
      <c r="E115" s="143" t="s">
        <v>205</v>
      </c>
      <c r="F115" s="143" t="s">
        <v>9</v>
      </c>
      <c r="G115" s="143" t="s">
        <v>127</v>
      </c>
      <c r="H115" s="143" t="s">
        <v>743</v>
      </c>
      <c r="I115" s="143" t="s">
        <v>141</v>
      </c>
      <c r="J115" s="145"/>
      <c r="K115" s="145"/>
      <c r="L115" s="153"/>
      <c r="M115" s="153"/>
      <c r="N115" s="153"/>
      <c r="O115" s="153"/>
      <c r="P115" s="153"/>
      <c r="Q115" s="154">
        <v>6.1</v>
      </c>
      <c r="R115" s="158" t="s">
        <v>754</v>
      </c>
      <c r="S115" s="155">
        <v>1.9</v>
      </c>
      <c r="T115" s="158" t="s">
        <v>759</v>
      </c>
      <c r="U115" s="153"/>
      <c r="V115" s="153"/>
      <c r="W115" s="153"/>
      <c r="X115" s="153"/>
      <c r="Y115" s="153"/>
      <c r="Z115" s="153"/>
      <c r="AA115" s="155">
        <v>28</v>
      </c>
      <c r="AB115" s="145"/>
      <c r="AC115" s="153"/>
      <c r="AD115" s="153"/>
      <c r="AE115" s="155"/>
      <c r="AF115" s="155"/>
      <c r="AG115" s="156">
        <v>22.292100000000001</v>
      </c>
      <c r="AH115" s="146">
        <v>2</v>
      </c>
      <c r="AI115" s="145"/>
      <c r="AJ115" s="149"/>
      <c r="AK115" s="157">
        <f t="shared" si="2"/>
        <v>36</v>
      </c>
      <c r="AL115" s="151"/>
    </row>
    <row r="116" spans="1:38">
      <c r="A116" s="146">
        <v>806</v>
      </c>
      <c r="B116" s="144" t="s">
        <v>959</v>
      </c>
      <c r="C116" s="143" t="s">
        <v>196</v>
      </c>
      <c r="D116" s="143" t="s">
        <v>206</v>
      </c>
      <c r="E116" s="143" t="s">
        <v>207</v>
      </c>
      <c r="F116" s="143" t="s">
        <v>9</v>
      </c>
      <c r="G116" s="143" t="s">
        <v>31</v>
      </c>
      <c r="H116" s="143" t="s">
        <v>743</v>
      </c>
      <c r="I116" s="143" t="s">
        <v>141</v>
      </c>
      <c r="J116" s="145"/>
      <c r="K116" s="145"/>
      <c r="L116" s="153"/>
      <c r="M116" s="153"/>
      <c r="N116" s="153"/>
      <c r="O116" s="153"/>
      <c r="P116" s="154">
        <v>9.1999999999999993</v>
      </c>
      <c r="Q116" s="154">
        <v>10.8</v>
      </c>
      <c r="R116" s="158" t="s">
        <v>754</v>
      </c>
      <c r="S116" s="155">
        <v>-5.7</v>
      </c>
      <c r="T116" s="158" t="s">
        <v>759</v>
      </c>
      <c r="U116" s="153"/>
      <c r="V116" s="153"/>
      <c r="W116" s="153"/>
      <c r="X116" s="153"/>
      <c r="Y116" s="153"/>
      <c r="Z116" s="153"/>
      <c r="AA116" s="155">
        <v>32.9</v>
      </c>
      <c r="AB116" s="145"/>
      <c r="AC116" s="153"/>
      <c r="AD116" s="153"/>
      <c r="AE116" s="155"/>
      <c r="AF116" s="155"/>
      <c r="AG116" s="156">
        <v>28.873899999999999</v>
      </c>
      <c r="AH116" s="146">
        <v>2</v>
      </c>
      <c r="AI116" s="145"/>
      <c r="AJ116" s="149"/>
      <c r="AK116" s="157">
        <f t="shared" si="2"/>
        <v>47.2</v>
      </c>
      <c r="AL116" s="151"/>
    </row>
    <row r="117" spans="1:38">
      <c r="A117" s="146">
        <v>807</v>
      </c>
      <c r="B117" s="144" t="s">
        <v>960</v>
      </c>
      <c r="C117" s="143" t="s">
        <v>196</v>
      </c>
      <c r="D117" s="143" t="s">
        <v>208</v>
      </c>
      <c r="E117" s="143" t="s">
        <v>209</v>
      </c>
      <c r="F117" s="143" t="s">
        <v>12</v>
      </c>
      <c r="G117" s="143" t="s">
        <v>31</v>
      </c>
      <c r="H117" s="143" t="s">
        <v>743</v>
      </c>
      <c r="I117" s="143" t="s">
        <v>54</v>
      </c>
      <c r="J117" s="145"/>
      <c r="K117" s="145"/>
      <c r="L117" s="153"/>
      <c r="M117" s="153"/>
      <c r="N117" s="153"/>
      <c r="O117" s="153"/>
      <c r="P117" s="154">
        <v>13.4</v>
      </c>
      <c r="Q117" s="154">
        <v>12.2</v>
      </c>
      <c r="R117" s="154">
        <v>11.7</v>
      </c>
      <c r="S117" s="154">
        <v>9.9</v>
      </c>
      <c r="T117" s="154">
        <v>7.2</v>
      </c>
      <c r="U117" s="154">
        <v>11.3</v>
      </c>
      <c r="V117" s="158" t="s">
        <v>775</v>
      </c>
      <c r="W117" s="153"/>
      <c r="X117" s="153"/>
      <c r="Y117" s="153"/>
      <c r="Z117" s="153"/>
      <c r="AA117" s="155">
        <v>42.6</v>
      </c>
      <c r="AB117" s="143" t="s">
        <v>744</v>
      </c>
      <c r="AC117" s="153"/>
      <c r="AD117" s="160">
        <v>23.7</v>
      </c>
      <c r="AE117" s="154"/>
      <c r="AF117" s="155"/>
      <c r="AG117" s="156">
        <v>11.6051</v>
      </c>
      <c r="AH117" s="146">
        <v>5</v>
      </c>
      <c r="AI117" s="145"/>
      <c r="AJ117" s="149"/>
      <c r="AK117" s="157">
        <f t="shared" si="2"/>
        <v>132</v>
      </c>
      <c r="AL117" s="151"/>
    </row>
    <row r="118" spans="1:38">
      <c r="A118" s="146">
        <v>808</v>
      </c>
      <c r="B118" s="144" t="s">
        <v>961</v>
      </c>
      <c r="C118" s="143" t="s">
        <v>196</v>
      </c>
      <c r="D118" s="143" t="s">
        <v>210</v>
      </c>
      <c r="E118" s="143" t="s">
        <v>211</v>
      </c>
      <c r="F118" s="143" t="s">
        <v>12</v>
      </c>
      <c r="G118" s="143" t="s">
        <v>10</v>
      </c>
      <c r="H118" s="143" t="s">
        <v>743</v>
      </c>
      <c r="I118" s="143" t="s">
        <v>141</v>
      </c>
      <c r="J118" s="145"/>
      <c r="K118" s="145"/>
      <c r="L118" s="153"/>
      <c r="M118" s="154">
        <v>-1.7</v>
      </c>
      <c r="N118" s="154">
        <v>-6</v>
      </c>
      <c r="O118" s="154">
        <v>13.3</v>
      </c>
      <c r="P118" s="154">
        <v>4.8</v>
      </c>
      <c r="Q118" s="154">
        <v>15.8</v>
      </c>
      <c r="R118" s="154">
        <v>-6.4</v>
      </c>
      <c r="S118" s="154">
        <v>-1.9</v>
      </c>
      <c r="T118" s="158" t="s">
        <v>754</v>
      </c>
      <c r="U118" s="155">
        <v>-1.7</v>
      </c>
      <c r="V118" s="158" t="s">
        <v>775</v>
      </c>
      <c r="W118" s="153"/>
      <c r="X118" s="153"/>
      <c r="Y118" s="153"/>
      <c r="Z118" s="153"/>
      <c r="AA118" s="155">
        <v>29.1</v>
      </c>
      <c r="AB118" s="143" t="s">
        <v>744</v>
      </c>
      <c r="AC118" s="153"/>
      <c r="AD118" s="160">
        <v>13.3</v>
      </c>
      <c r="AE118" s="154"/>
      <c r="AF118" s="155"/>
      <c r="AG118" s="156">
        <v>22.682300000000001</v>
      </c>
      <c r="AH118" s="146">
        <v>5</v>
      </c>
      <c r="AI118" s="145"/>
      <c r="AJ118" s="149"/>
      <c r="AK118" s="157">
        <f t="shared" si="2"/>
        <v>58.600000000000009</v>
      </c>
      <c r="AL118" s="151"/>
    </row>
    <row r="119" spans="1:38">
      <c r="A119" s="146">
        <v>809</v>
      </c>
      <c r="B119" s="144" t="s">
        <v>962</v>
      </c>
      <c r="C119" s="143" t="s">
        <v>196</v>
      </c>
      <c r="D119" s="143" t="s">
        <v>212</v>
      </c>
      <c r="E119" s="143" t="s">
        <v>213</v>
      </c>
      <c r="F119" s="143" t="s">
        <v>9</v>
      </c>
      <c r="G119" s="143" t="s">
        <v>10</v>
      </c>
      <c r="H119" s="143" t="s">
        <v>743</v>
      </c>
      <c r="I119" s="143" t="s">
        <v>141</v>
      </c>
      <c r="J119" s="145"/>
      <c r="K119" s="145"/>
      <c r="L119" s="153"/>
      <c r="M119" s="158" t="s">
        <v>754</v>
      </c>
      <c r="N119" s="155">
        <v>-5.4</v>
      </c>
      <c r="O119" s="154">
        <v>15.1</v>
      </c>
      <c r="P119" s="154">
        <v>1.9</v>
      </c>
      <c r="Q119" s="154">
        <v>15.5</v>
      </c>
      <c r="R119" s="154">
        <v>-3.2</v>
      </c>
      <c r="S119" s="154">
        <v>-0.2</v>
      </c>
      <c r="T119" s="158" t="s">
        <v>754</v>
      </c>
      <c r="U119" s="155">
        <v>-0.5</v>
      </c>
      <c r="V119" s="158" t="s">
        <v>775</v>
      </c>
      <c r="W119" s="153"/>
      <c r="X119" s="153"/>
      <c r="Y119" s="153"/>
      <c r="Z119" s="153"/>
      <c r="AA119" s="155">
        <v>25</v>
      </c>
      <c r="AB119" s="143" t="s">
        <v>744</v>
      </c>
      <c r="AC119" s="153"/>
      <c r="AD119" s="160">
        <v>12.8</v>
      </c>
      <c r="AE119" s="154"/>
      <c r="AF119" s="155"/>
      <c r="AG119" s="156">
        <v>16.8689</v>
      </c>
      <c r="AH119" s="146">
        <v>5</v>
      </c>
      <c r="AI119" s="145"/>
      <c r="AJ119" s="149"/>
      <c r="AK119" s="157">
        <f t="shared" si="2"/>
        <v>61</v>
      </c>
      <c r="AL119" s="151"/>
    </row>
    <row r="120" spans="1:38">
      <c r="A120" s="146">
        <v>810</v>
      </c>
      <c r="B120" s="144" t="s">
        <v>963</v>
      </c>
      <c r="C120" s="143" t="s">
        <v>196</v>
      </c>
      <c r="D120" s="143" t="s">
        <v>214</v>
      </c>
      <c r="E120" s="143" t="s">
        <v>215</v>
      </c>
      <c r="F120" s="143" t="s">
        <v>9</v>
      </c>
      <c r="G120" s="143" t="s">
        <v>10</v>
      </c>
      <c r="H120" s="143" t="s">
        <v>743</v>
      </c>
      <c r="I120" s="143" t="s">
        <v>54</v>
      </c>
      <c r="J120" s="145"/>
      <c r="K120" s="145"/>
      <c r="L120" s="153"/>
      <c r="M120" s="158" t="s">
        <v>754</v>
      </c>
      <c r="N120" s="155">
        <v>21.7</v>
      </c>
      <c r="O120" s="154">
        <v>40.9</v>
      </c>
      <c r="P120" s="154">
        <v>25.7</v>
      </c>
      <c r="Q120" s="154">
        <v>24.8</v>
      </c>
      <c r="R120" s="154">
        <v>-2.1</v>
      </c>
      <c r="S120" s="154">
        <v>57.7</v>
      </c>
      <c r="T120" s="158" t="s">
        <v>770</v>
      </c>
      <c r="U120" s="158" t="s">
        <v>770</v>
      </c>
      <c r="V120" s="158" t="s">
        <v>775</v>
      </c>
      <c r="W120" s="153"/>
      <c r="X120" s="153"/>
      <c r="Y120" s="153"/>
      <c r="Z120" s="153"/>
      <c r="AA120" s="155">
        <v>83</v>
      </c>
      <c r="AB120" s="143" t="s">
        <v>744</v>
      </c>
      <c r="AC120" s="153"/>
      <c r="AD120" s="160">
        <v>48.5</v>
      </c>
      <c r="AE120" s="154"/>
      <c r="AF120" s="155"/>
      <c r="AG120" s="156">
        <v>7.8315000000000001</v>
      </c>
      <c r="AH120" s="146">
        <v>5</v>
      </c>
      <c r="AI120" s="143" t="s">
        <v>964</v>
      </c>
      <c r="AJ120" s="149"/>
      <c r="AK120" s="157">
        <f t="shared" si="2"/>
        <v>300.2</v>
      </c>
      <c r="AL120" s="151"/>
    </row>
    <row r="121" spans="1:38">
      <c r="A121" s="146">
        <v>811</v>
      </c>
      <c r="B121" s="144" t="s">
        <v>965</v>
      </c>
      <c r="C121" s="143" t="s">
        <v>196</v>
      </c>
      <c r="D121" s="143" t="s">
        <v>966</v>
      </c>
      <c r="E121" s="143" t="s">
        <v>216</v>
      </c>
      <c r="F121" s="143" t="s">
        <v>9</v>
      </c>
      <c r="G121" s="143" t="s">
        <v>10</v>
      </c>
      <c r="H121" s="143" t="s">
        <v>64</v>
      </c>
      <c r="I121" s="143" t="s">
        <v>54</v>
      </c>
      <c r="J121" s="145"/>
      <c r="K121" s="145"/>
      <c r="L121" s="153"/>
      <c r="M121" s="158" t="s">
        <v>754</v>
      </c>
      <c r="N121" s="155">
        <v>67.400000000000006</v>
      </c>
      <c r="O121" s="154">
        <v>62.3</v>
      </c>
      <c r="P121" s="154">
        <v>38.799999999999997</v>
      </c>
      <c r="Q121" s="154">
        <v>24.3</v>
      </c>
      <c r="R121" s="154">
        <v>6.3</v>
      </c>
      <c r="S121" s="154">
        <v>28.1</v>
      </c>
      <c r="T121" s="158" t="s">
        <v>47</v>
      </c>
      <c r="U121" s="154">
        <v>65.099999999999994</v>
      </c>
      <c r="V121" s="145"/>
      <c r="W121" s="153"/>
      <c r="X121" s="153"/>
      <c r="Y121" s="153"/>
      <c r="Z121" s="153"/>
      <c r="AA121" s="153"/>
      <c r="AB121" s="153"/>
      <c r="AC121" s="153"/>
      <c r="AD121" s="153"/>
      <c r="AE121" s="155"/>
      <c r="AF121" s="155"/>
      <c r="AG121" s="156">
        <v>6.9160000000000004</v>
      </c>
      <c r="AH121" s="146">
        <v>59</v>
      </c>
      <c r="AI121" s="143" t="s">
        <v>967</v>
      </c>
      <c r="AJ121" s="149"/>
      <c r="AK121" s="157">
        <f t="shared" si="2"/>
        <v>292.3</v>
      </c>
      <c r="AL121" s="151"/>
    </row>
    <row r="122" spans="1:38">
      <c r="A122" s="146">
        <v>812</v>
      </c>
      <c r="B122" s="144" t="s">
        <v>968</v>
      </c>
      <c r="C122" s="143" t="s">
        <v>196</v>
      </c>
      <c r="D122" s="143" t="s">
        <v>969</v>
      </c>
      <c r="E122" s="143" t="s">
        <v>970</v>
      </c>
      <c r="F122" s="143" t="s">
        <v>9</v>
      </c>
      <c r="G122" s="143" t="s">
        <v>10</v>
      </c>
      <c r="H122" s="143" t="s">
        <v>64</v>
      </c>
      <c r="I122" s="143" t="s">
        <v>54</v>
      </c>
      <c r="J122" s="145"/>
      <c r="K122" s="145"/>
      <c r="L122" s="153"/>
      <c r="M122" s="158" t="s">
        <v>754</v>
      </c>
      <c r="N122" s="155">
        <v>13.3</v>
      </c>
      <c r="O122" s="154">
        <v>14.8</v>
      </c>
      <c r="P122" s="154">
        <v>7.1</v>
      </c>
      <c r="Q122" s="154">
        <v>1.2</v>
      </c>
      <c r="R122" s="154">
        <v>-1.3</v>
      </c>
      <c r="S122" s="154">
        <v>11.3</v>
      </c>
      <c r="T122" s="154">
        <v>2.7</v>
      </c>
      <c r="U122" s="154">
        <v>14.2</v>
      </c>
      <c r="V122" s="145"/>
      <c r="W122" s="153"/>
      <c r="X122" s="153"/>
      <c r="Y122" s="153"/>
      <c r="Z122" s="153"/>
      <c r="AA122" s="153"/>
      <c r="AB122" s="153"/>
      <c r="AC122" s="153"/>
      <c r="AD122" s="153"/>
      <c r="AE122" s="155"/>
      <c r="AF122" s="155"/>
      <c r="AG122" s="156">
        <v>4.3426999999999998</v>
      </c>
      <c r="AH122" s="146">
        <v>59</v>
      </c>
      <c r="AI122" s="145"/>
      <c r="AJ122" s="149"/>
      <c r="AK122" s="157">
        <f t="shared" si="2"/>
        <v>63.300000000000011</v>
      </c>
      <c r="AL122" s="151"/>
    </row>
    <row r="123" spans="1:38">
      <c r="A123" s="146">
        <v>901</v>
      </c>
      <c r="B123" s="144" t="s">
        <v>971</v>
      </c>
      <c r="C123" s="143" t="s">
        <v>217</v>
      </c>
      <c r="D123" s="143" t="s">
        <v>218</v>
      </c>
      <c r="E123" s="143" t="s">
        <v>219</v>
      </c>
      <c r="F123" s="143" t="s">
        <v>9</v>
      </c>
      <c r="G123" s="143" t="s">
        <v>31</v>
      </c>
      <c r="H123" s="143" t="s">
        <v>64</v>
      </c>
      <c r="I123" s="143" t="s">
        <v>220</v>
      </c>
      <c r="J123" s="145"/>
      <c r="K123" s="145"/>
      <c r="L123" s="153"/>
      <c r="M123" s="153"/>
      <c r="N123" s="153"/>
      <c r="O123" s="153"/>
      <c r="P123" s="154">
        <v>3.5</v>
      </c>
      <c r="Q123" s="154">
        <v>-3.1</v>
      </c>
      <c r="R123" s="158" t="s">
        <v>754</v>
      </c>
      <c r="S123" s="155">
        <v>-2.7</v>
      </c>
      <c r="T123" s="158" t="s">
        <v>754</v>
      </c>
      <c r="U123" s="155">
        <v>6.1</v>
      </c>
      <c r="V123" s="145"/>
      <c r="W123" s="153"/>
      <c r="X123" s="153"/>
      <c r="Y123" s="153"/>
      <c r="Z123" s="153"/>
      <c r="AA123" s="153"/>
      <c r="AB123" s="153"/>
      <c r="AC123" s="153"/>
      <c r="AD123" s="153"/>
      <c r="AE123" s="155"/>
      <c r="AF123" s="155"/>
      <c r="AG123" s="156">
        <v>5.1351000000000004</v>
      </c>
      <c r="AH123" s="146">
        <v>59</v>
      </c>
      <c r="AI123" s="145"/>
      <c r="AJ123" s="149"/>
      <c r="AK123" s="157">
        <f t="shared" si="2"/>
        <v>3.7999999999999994</v>
      </c>
      <c r="AL123" s="151"/>
    </row>
    <row r="124" spans="1:38">
      <c r="A124" s="146">
        <v>902</v>
      </c>
      <c r="B124" s="144" t="s">
        <v>972</v>
      </c>
      <c r="C124" s="143" t="s">
        <v>217</v>
      </c>
      <c r="D124" s="143" t="s">
        <v>973</v>
      </c>
      <c r="E124" s="143" t="s">
        <v>974</v>
      </c>
      <c r="F124" s="143" t="s">
        <v>9</v>
      </c>
      <c r="G124" s="143" t="s">
        <v>31</v>
      </c>
      <c r="H124" s="143" t="s">
        <v>64</v>
      </c>
      <c r="I124" s="143" t="s">
        <v>220</v>
      </c>
      <c r="J124" s="145"/>
      <c r="K124" s="145"/>
      <c r="L124" s="153"/>
      <c r="M124" s="153"/>
      <c r="N124" s="153"/>
      <c r="O124" s="153"/>
      <c r="P124" s="154">
        <v>6.3</v>
      </c>
      <c r="Q124" s="154">
        <v>-1.4</v>
      </c>
      <c r="R124" s="158" t="s">
        <v>754</v>
      </c>
      <c r="S124" s="155">
        <v>-4.5999999999999996</v>
      </c>
      <c r="T124" s="158" t="s">
        <v>754</v>
      </c>
      <c r="U124" s="155">
        <v>7.5</v>
      </c>
      <c r="V124" s="145"/>
      <c r="W124" s="153"/>
      <c r="X124" s="153"/>
      <c r="Y124" s="153"/>
      <c r="Z124" s="153"/>
      <c r="AA124" s="153"/>
      <c r="AB124" s="153"/>
      <c r="AC124" s="153"/>
      <c r="AD124" s="153"/>
      <c r="AE124" s="155"/>
      <c r="AF124" s="155"/>
      <c r="AG124" s="156">
        <v>5.4322999999999997</v>
      </c>
      <c r="AH124" s="146">
        <v>59</v>
      </c>
      <c r="AI124" s="145"/>
      <c r="AJ124" s="149"/>
      <c r="AK124" s="157">
        <f t="shared" si="2"/>
        <v>7.8000000000000007</v>
      </c>
      <c r="AL124" s="151"/>
    </row>
    <row r="125" spans="1:38">
      <c r="A125" s="146">
        <v>903</v>
      </c>
      <c r="B125" s="144" t="s">
        <v>975</v>
      </c>
      <c r="C125" s="143" t="s">
        <v>217</v>
      </c>
      <c r="D125" s="143" t="s">
        <v>221</v>
      </c>
      <c r="E125" s="143" t="s">
        <v>222</v>
      </c>
      <c r="F125" s="143" t="s">
        <v>70</v>
      </c>
      <c r="G125" s="143" t="s">
        <v>223</v>
      </c>
      <c r="H125" s="143" t="s">
        <v>743</v>
      </c>
      <c r="I125" s="143" t="s">
        <v>220</v>
      </c>
      <c r="J125" s="145"/>
      <c r="K125" s="145"/>
      <c r="L125" s="153"/>
      <c r="M125" s="153"/>
      <c r="N125" s="153"/>
      <c r="O125" s="154">
        <v>1.6</v>
      </c>
      <c r="P125" s="154">
        <v>3.7</v>
      </c>
      <c r="Q125" s="154">
        <v>3.2</v>
      </c>
      <c r="R125" s="154">
        <v>-4.7</v>
      </c>
      <c r="S125" s="154">
        <v>1.4</v>
      </c>
      <c r="T125" s="154">
        <v>2.8</v>
      </c>
      <c r="U125" s="154">
        <v>4.8</v>
      </c>
      <c r="V125" s="158" t="s">
        <v>775</v>
      </c>
      <c r="W125" s="153"/>
      <c r="X125" s="153"/>
      <c r="Y125" s="153"/>
      <c r="Z125" s="153"/>
      <c r="AA125" s="155">
        <v>1.8</v>
      </c>
      <c r="AB125" s="143" t="s">
        <v>744</v>
      </c>
      <c r="AC125" s="153"/>
      <c r="AD125" s="160">
        <v>16.899999999999999</v>
      </c>
      <c r="AE125" s="154"/>
      <c r="AF125" s="155"/>
      <c r="AG125" s="156">
        <v>4.5308000000000002</v>
      </c>
      <c r="AH125" s="146">
        <v>5</v>
      </c>
      <c r="AI125" s="145"/>
      <c r="AJ125" s="149"/>
      <c r="AK125" s="157">
        <f t="shared" si="2"/>
        <v>31.5</v>
      </c>
      <c r="AL125" s="151"/>
    </row>
    <row r="126" spans="1:38">
      <c r="A126" s="146">
        <v>904</v>
      </c>
      <c r="B126" s="144" t="s">
        <v>976</v>
      </c>
      <c r="C126" s="143" t="s">
        <v>217</v>
      </c>
      <c r="D126" s="143" t="s">
        <v>977</v>
      </c>
      <c r="E126" s="143" t="s">
        <v>224</v>
      </c>
      <c r="F126" s="143" t="s">
        <v>12</v>
      </c>
      <c r="G126" s="143" t="s">
        <v>31</v>
      </c>
      <c r="H126" s="143" t="s">
        <v>743</v>
      </c>
      <c r="I126" s="143" t="s">
        <v>763</v>
      </c>
      <c r="J126" s="145"/>
      <c r="K126" s="145"/>
      <c r="L126" s="153"/>
      <c r="M126" s="153"/>
      <c r="N126" s="153"/>
      <c r="O126" s="153"/>
      <c r="P126" s="154">
        <v>1.9</v>
      </c>
      <c r="Q126" s="154">
        <v>-1.9</v>
      </c>
      <c r="R126" s="158" t="s">
        <v>754</v>
      </c>
      <c r="S126" s="155">
        <v>-4.4000000000000004</v>
      </c>
      <c r="T126" s="158" t="s">
        <v>754</v>
      </c>
      <c r="U126" s="155">
        <v>1.1000000000000001</v>
      </c>
      <c r="V126" s="158" t="s">
        <v>775</v>
      </c>
      <c r="W126" s="153"/>
      <c r="X126" s="153"/>
      <c r="Y126" s="153"/>
      <c r="Z126" s="153"/>
      <c r="AA126" s="155">
        <v>3.6</v>
      </c>
      <c r="AB126" s="143" t="s">
        <v>744</v>
      </c>
      <c r="AC126" s="153"/>
      <c r="AD126" s="160">
        <v>16.5</v>
      </c>
      <c r="AE126" s="154"/>
      <c r="AF126" s="155"/>
      <c r="AG126" s="156">
        <v>17.428599999999999</v>
      </c>
      <c r="AH126" s="146">
        <v>5</v>
      </c>
      <c r="AI126" s="143" t="s">
        <v>978</v>
      </c>
      <c r="AJ126" s="149"/>
      <c r="AK126" s="157">
        <f t="shared" si="2"/>
        <v>16.8</v>
      </c>
      <c r="AL126" s="151"/>
    </row>
    <row r="127" spans="1:38">
      <c r="A127" s="146">
        <v>905</v>
      </c>
      <c r="B127" s="144" t="s">
        <v>979</v>
      </c>
      <c r="C127" s="143" t="s">
        <v>217</v>
      </c>
      <c r="D127" s="143" t="s">
        <v>225</v>
      </c>
      <c r="E127" s="143" t="s">
        <v>226</v>
      </c>
      <c r="F127" s="143" t="s">
        <v>12</v>
      </c>
      <c r="G127" s="143" t="s">
        <v>31</v>
      </c>
      <c r="H127" s="143" t="s">
        <v>743</v>
      </c>
      <c r="I127" s="143" t="s">
        <v>98</v>
      </c>
      <c r="J127" s="145"/>
      <c r="K127" s="145"/>
      <c r="L127" s="153"/>
      <c r="M127" s="153"/>
      <c r="N127" s="153"/>
      <c r="O127" s="153"/>
      <c r="P127" s="154">
        <v>1.1000000000000001</v>
      </c>
      <c r="Q127" s="154">
        <v>0.3</v>
      </c>
      <c r="R127" s="158" t="s">
        <v>754</v>
      </c>
      <c r="S127" s="155">
        <v>-4.3</v>
      </c>
      <c r="T127" s="158" t="s">
        <v>754</v>
      </c>
      <c r="U127" s="155">
        <v>-0.2</v>
      </c>
      <c r="V127" s="145"/>
      <c r="W127" s="153"/>
      <c r="X127" s="153"/>
      <c r="Y127" s="153"/>
      <c r="Z127" s="153"/>
      <c r="AA127" s="159" t="s">
        <v>47</v>
      </c>
      <c r="AB127" s="143" t="s">
        <v>744</v>
      </c>
      <c r="AC127" s="153"/>
      <c r="AD127" s="160">
        <v>4.0999999999999996</v>
      </c>
      <c r="AE127" s="154"/>
      <c r="AF127" s="155"/>
      <c r="AG127" s="156">
        <v>15.070399999999999</v>
      </c>
      <c r="AH127" s="146">
        <v>5</v>
      </c>
      <c r="AI127" s="143" t="s">
        <v>980</v>
      </c>
      <c r="AJ127" s="149"/>
      <c r="AK127" s="157">
        <f t="shared" si="2"/>
        <v>1</v>
      </c>
      <c r="AL127" s="151"/>
    </row>
    <row r="128" spans="1:38">
      <c r="A128" s="146">
        <v>906</v>
      </c>
      <c r="B128" s="144" t="s">
        <v>981</v>
      </c>
      <c r="C128" s="143" t="s">
        <v>217</v>
      </c>
      <c r="D128" s="143" t="s">
        <v>227</v>
      </c>
      <c r="E128" s="143" t="s">
        <v>228</v>
      </c>
      <c r="F128" s="143" t="s">
        <v>12</v>
      </c>
      <c r="G128" s="143" t="s">
        <v>223</v>
      </c>
      <c r="H128" s="143" t="s">
        <v>743</v>
      </c>
      <c r="I128" s="143" t="s">
        <v>98</v>
      </c>
      <c r="J128" s="145"/>
      <c r="K128" s="145"/>
      <c r="L128" s="153"/>
      <c r="M128" s="153"/>
      <c r="N128" s="153"/>
      <c r="O128" s="154">
        <v>0.3</v>
      </c>
      <c r="P128" s="154">
        <v>0.5</v>
      </c>
      <c r="Q128" s="154">
        <v>2</v>
      </c>
      <c r="R128" s="154">
        <v>-5.3</v>
      </c>
      <c r="S128" s="154">
        <v>1.5</v>
      </c>
      <c r="T128" s="154">
        <v>-0.3</v>
      </c>
      <c r="U128" s="154">
        <v>2.4</v>
      </c>
      <c r="V128" s="158" t="s">
        <v>775</v>
      </c>
      <c r="W128" s="153"/>
      <c r="X128" s="153"/>
      <c r="Y128" s="153"/>
      <c r="Z128" s="153"/>
      <c r="AA128" s="155">
        <v>-0.4</v>
      </c>
      <c r="AB128" s="143" t="s">
        <v>744</v>
      </c>
      <c r="AC128" s="153"/>
      <c r="AD128" s="160">
        <v>5.3</v>
      </c>
      <c r="AE128" s="154"/>
      <c r="AF128" s="155"/>
      <c r="AG128" s="156">
        <v>10.918200000000001</v>
      </c>
      <c r="AH128" s="146">
        <v>5</v>
      </c>
      <c r="AI128" s="145"/>
      <c r="AJ128" s="149"/>
      <c r="AK128" s="157">
        <f t="shared" si="2"/>
        <v>6</v>
      </c>
      <c r="AL128" s="151"/>
    </row>
    <row r="129" spans="1:38">
      <c r="A129" s="146">
        <v>907</v>
      </c>
      <c r="B129" s="144" t="s">
        <v>982</v>
      </c>
      <c r="C129" s="143" t="s">
        <v>217</v>
      </c>
      <c r="D129" s="143" t="s">
        <v>229</v>
      </c>
      <c r="E129" s="143" t="s">
        <v>230</v>
      </c>
      <c r="F129" s="143" t="s">
        <v>12</v>
      </c>
      <c r="G129" s="143" t="s">
        <v>10</v>
      </c>
      <c r="H129" s="143" t="s">
        <v>743</v>
      </c>
      <c r="I129" s="143" t="s">
        <v>98</v>
      </c>
      <c r="J129" s="145"/>
      <c r="K129" s="145"/>
      <c r="L129" s="153"/>
      <c r="M129" s="154">
        <v>-10.8</v>
      </c>
      <c r="N129" s="154">
        <v>13.2</v>
      </c>
      <c r="O129" s="154">
        <v>-0.6</v>
      </c>
      <c r="P129" s="154">
        <v>0.3</v>
      </c>
      <c r="Q129" s="154">
        <v>0.6</v>
      </c>
      <c r="R129" s="154">
        <v>-2.7</v>
      </c>
      <c r="S129" s="154">
        <v>1.1000000000000001</v>
      </c>
      <c r="T129" s="154">
        <v>3.1</v>
      </c>
      <c r="U129" s="154">
        <v>3.1</v>
      </c>
      <c r="V129" s="158" t="s">
        <v>775</v>
      </c>
      <c r="W129" s="153"/>
      <c r="X129" s="153"/>
      <c r="Y129" s="153"/>
      <c r="Z129" s="153"/>
      <c r="AA129" s="155">
        <v>1.8</v>
      </c>
      <c r="AB129" s="143" t="s">
        <v>744</v>
      </c>
      <c r="AC129" s="153"/>
      <c r="AD129" s="155">
        <v>7</v>
      </c>
      <c r="AE129" s="154"/>
      <c r="AF129" s="155"/>
      <c r="AG129" s="156">
        <v>25.4725</v>
      </c>
      <c r="AH129" s="146">
        <v>5</v>
      </c>
      <c r="AI129" s="145"/>
      <c r="AJ129" s="149"/>
      <c r="AK129" s="157">
        <f t="shared" si="2"/>
        <v>16.100000000000001</v>
      </c>
      <c r="AL129" s="151"/>
    </row>
    <row r="130" spans="1:38">
      <c r="A130" s="146">
        <v>908</v>
      </c>
      <c r="B130" s="144" t="s">
        <v>983</v>
      </c>
      <c r="C130" s="143" t="s">
        <v>217</v>
      </c>
      <c r="D130" s="143" t="s">
        <v>984</v>
      </c>
      <c r="E130" s="143" t="s">
        <v>231</v>
      </c>
      <c r="F130" s="143" t="s">
        <v>9</v>
      </c>
      <c r="G130" s="143" t="s">
        <v>10</v>
      </c>
      <c r="H130" s="143" t="s">
        <v>64</v>
      </c>
      <c r="I130" s="143" t="s">
        <v>54</v>
      </c>
      <c r="J130" s="145"/>
      <c r="K130" s="145"/>
      <c r="L130" s="153"/>
      <c r="M130" s="158" t="s">
        <v>754</v>
      </c>
      <c r="N130" s="155">
        <v>12.3</v>
      </c>
      <c r="O130" s="154">
        <v>0.5</v>
      </c>
      <c r="P130" s="154">
        <v>4.5999999999999996</v>
      </c>
      <c r="Q130" s="154">
        <v>6</v>
      </c>
      <c r="R130" s="154">
        <v>-7.1</v>
      </c>
      <c r="S130" s="154">
        <v>1.1000000000000001</v>
      </c>
      <c r="T130" s="154">
        <v>2.6</v>
      </c>
      <c r="U130" s="154">
        <v>6.9</v>
      </c>
      <c r="V130" s="158" t="s">
        <v>775</v>
      </c>
      <c r="W130" s="153"/>
      <c r="X130" s="153"/>
      <c r="Y130" s="153"/>
      <c r="Z130" s="153"/>
      <c r="AA130" s="155">
        <v>0.6</v>
      </c>
      <c r="AB130" s="143" t="s">
        <v>744</v>
      </c>
      <c r="AC130" s="153"/>
      <c r="AD130" s="160">
        <v>12.9</v>
      </c>
      <c r="AE130" s="154"/>
      <c r="AF130" s="155"/>
      <c r="AG130" s="156">
        <v>5.1580000000000004</v>
      </c>
      <c r="AH130" s="146">
        <v>5</v>
      </c>
      <c r="AI130" s="145"/>
      <c r="AJ130" s="149"/>
      <c r="AK130" s="157">
        <f t="shared" si="2"/>
        <v>40.4</v>
      </c>
      <c r="AL130" s="151"/>
    </row>
    <row r="131" spans="1:38">
      <c r="A131" s="146">
        <v>909</v>
      </c>
      <c r="B131" s="144" t="s">
        <v>985</v>
      </c>
      <c r="C131" s="143" t="s">
        <v>217</v>
      </c>
      <c r="D131" s="143" t="s">
        <v>232</v>
      </c>
      <c r="E131" s="143" t="s">
        <v>233</v>
      </c>
      <c r="F131" s="143" t="s">
        <v>12</v>
      </c>
      <c r="G131" s="143" t="s">
        <v>31</v>
      </c>
      <c r="H131" s="143" t="s">
        <v>743</v>
      </c>
      <c r="I131" s="143" t="s">
        <v>54</v>
      </c>
      <c r="J131" s="145"/>
      <c r="K131" s="145"/>
      <c r="L131" s="153"/>
      <c r="M131" s="153"/>
      <c r="N131" s="153"/>
      <c r="O131" s="153"/>
      <c r="P131" s="154">
        <v>2.2999999999999998</v>
      </c>
      <c r="Q131" s="154">
        <v>4.5999999999999996</v>
      </c>
      <c r="R131" s="154">
        <v>-6.6</v>
      </c>
      <c r="S131" s="154">
        <v>-0.1</v>
      </c>
      <c r="T131" s="154">
        <v>1.8</v>
      </c>
      <c r="U131" s="154">
        <v>6.7</v>
      </c>
      <c r="V131" s="158" t="s">
        <v>775</v>
      </c>
      <c r="W131" s="153"/>
      <c r="X131" s="153"/>
      <c r="Y131" s="153"/>
      <c r="Z131" s="153"/>
      <c r="AA131" s="155">
        <v>0.7</v>
      </c>
      <c r="AB131" s="143" t="s">
        <v>744</v>
      </c>
      <c r="AC131" s="153"/>
      <c r="AD131" s="160">
        <v>12.2</v>
      </c>
      <c r="AE131" s="154"/>
      <c r="AF131" s="155"/>
      <c r="AG131" s="156">
        <v>4.2526999999999999</v>
      </c>
      <c r="AH131" s="146">
        <v>5</v>
      </c>
      <c r="AI131" s="145"/>
      <c r="AJ131" s="149"/>
      <c r="AK131" s="157">
        <f t="shared" si="2"/>
        <v>21.599999999999998</v>
      </c>
      <c r="AL131" s="151"/>
    </row>
    <row r="132" spans="1:38">
      <c r="A132" s="146">
        <v>910</v>
      </c>
      <c r="B132" s="144" t="s">
        <v>986</v>
      </c>
      <c r="C132" s="143" t="s">
        <v>217</v>
      </c>
      <c r="D132" s="143" t="s">
        <v>234</v>
      </c>
      <c r="E132" s="143" t="s">
        <v>235</v>
      </c>
      <c r="F132" s="143" t="s">
        <v>12</v>
      </c>
      <c r="G132" s="143" t="s">
        <v>10</v>
      </c>
      <c r="H132" s="143" t="s">
        <v>743</v>
      </c>
      <c r="I132" s="143" t="s">
        <v>98</v>
      </c>
      <c r="J132" s="145"/>
      <c r="K132" s="145"/>
      <c r="L132" s="153"/>
      <c r="M132" s="154">
        <v>-7.7</v>
      </c>
      <c r="N132" s="154">
        <v>12.2</v>
      </c>
      <c r="O132" s="154">
        <v>0.3</v>
      </c>
      <c r="P132" s="154">
        <v>0.4</v>
      </c>
      <c r="Q132" s="154">
        <v>0.5</v>
      </c>
      <c r="R132" s="154">
        <v>-3.5</v>
      </c>
      <c r="S132" s="154">
        <v>1.1000000000000001</v>
      </c>
      <c r="T132" s="154">
        <v>-1.5</v>
      </c>
      <c r="U132" s="154">
        <v>1.9</v>
      </c>
      <c r="V132" s="158" t="s">
        <v>775</v>
      </c>
      <c r="W132" s="153"/>
      <c r="X132" s="153"/>
      <c r="Y132" s="153"/>
      <c r="Z132" s="153"/>
      <c r="AA132" s="155">
        <v>0.9</v>
      </c>
      <c r="AB132" s="143" t="s">
        <v>744</v>
      </c>
      <c r="AC132" s="153"/>
      <c r="AD132" s="160">
        <v>3.1</v>
      </c>
      <c r="AE132" s="154"/>
      <c r="AF132" s="155"/>
      <c r="AG132" s="156">
        <v>15.8817</v>
      </c>
      <c r="AH132" s="146">
        <v>5</v>
      </c>
      <c r="AI132" s="145"/>
      <c r="AJ132" s="149"/>
      <c r="AK132" s="157">
        <f t="shared" si="2"/>
        <v>7.6999999999999993</v>
      </c>
      <c r="AL132" s="151"/>
    </row>
    <row r="133" spans="1:38">
      <c r="A133" s="146">
        <v>911</v>
      </c>
      <c r="B133" s="144" t="s">
        <v>987</v>
      </c>
      <c r="C133" s="143" t="s">
        <v>217</v>
      </c>
      <c r="D133" s="143" t="s">
        <v>236</v>
      </c>
      <c r="E133" s="143" t="s">
        <v>237</v>
      </c>
      <c r="F133" s="143" t="s">
        <v>70</v>
      </c>
      <c r="G133" s="143" t="s">
        <v>10</v>
      </c>
      <c r="H133" s="143" t="s">
        <v>743</v>
      </c>
      <c r="I133" s="143" t="s">
        <v>54</v>
      </c>
      <c r="J133" s="145"/>
      <c r="K133" s="145"/>
      <c r="L133" s="153"/>
      <c r="M133" s="154">
        <v>44</v>
      </c>
      <c r="N133" s="154">
        <v>33.200000000000003</v>
      </c>
      <c r="O133" s="154">
        <v>22.1</v>
      </c>
      <c r="P133" s="154">
        <v>41.5</v>
      </c>
      <c r="Q133" s="154">
        <v>19.600000000000001</v>
      </c>
      <c r="R133" s="154">
        <v>-1</v>
      </c>
      <c r="S133" s="158" t="s">
        <v>770</v>
      </c>
      <c r="T133" s="158" t="s">
        <v>754</v>
      </c>
      <c r="U133" s="155">
        <v>97.6</v>
      </c>
      <c r="V133" s="158" t="s">
        <v>775</v>
      </c>
      <c r="W133" s="153"/>
      <c r="X133" s="153"/>
      <c r="Y133" s="153"/>
      <c r="Z133" s="153"/>
      <c r="AA133" s="155">
        <v>108.3</v>
      </c>
      <c r="AB133" s="143" t="s">
        <v>744</v>
      </c>
      <c r="AC133" s="153"/>
      <c r="AD133" s="161" t="s">
        <v>770</v>
      </c>
      <c r="AE133" s="154"/>
      <c r="AF133" s="155"/>
      <c r="AG133" s="156">
        <v>3.8321999999999998</v>
      </c>
      <c r="AH133" s="146">
        <v>5</v>
      </c>
      <c r="AI133" s="143" t="s">
        <v>988</v>
      </c>
      <c r="AJ133" s="149"/>
      <c r="AK133" s="157">
        <f t="shared" si="2"/>
        <v>365.3</v>
      </c>
      <c r="AL133" s="151"/>
    </row>
    <row r="134" spans="1:38">
      <c r="B134" s="163">
        <f>COUNTA(B2:B133)</f>
        <v>132</v>
      </c>
      <c r="AE134" s="164"/>
      <c r="AF134" s="164"/>
      <c r="AG134" s="165"/>
    </row>
    <row r="135" spans="1:38">
      <c r="AE135" s="164"/>
      <c r="AF135" s="164"/>
      <c r="AG135" s="165"/>
    </row>
    <row r="136" spans="1:38">
      <c r="AE136" s="164"/>
      <c r="AF136" s="164"/>
      <c r="AG136" s="165"/>
    </row>
    <row r="137" spans="1:38">
      <c r="AE137" s="164"/>
      <c r="AF137" s="164"/>
      <c r="AG137" s="165"/>
    </row>
    <row r="138" spans="1:38">
      <c r="AE138" s="164"/>
      <c r="AF138" s="164"/>
      <c r="AG138" s="165"/>
    </row>
    <row r="139" spans="1:38">
      <c r="AE139" s="164"/>
      <c r="AF139" s="164"/>
      <c r="AG139" s="165"/>
    </row>
    <row r="140" spans="1:38">
      <c r="AE140" s="164"/>
      <c r="AF140" s="164"/>
      <c r="AG140" s="165"/>
    </row>
    <row r="141" spans="1:38">
      <c r="AE141" s="164"/>
      <c r="AF141" s="164"/>
      <c r="AG141" s="165"/>
    </row>
    <row r="142" spans="1:38">
      <c r="AE142" s="164"/>
      <c r="AF142" s="164"/>
      <c r="AG142" s="165"/>
    </row>
    <row r="143" spans="1:38">
      <c r="AE143" s="164"/>
      <c r="AF143" s="164"/>
      <c r="AG143" s="165"/>
    </row>
    <row r="144" spans="1:38">
      <c r="AE144" s="164"/>
      <c r="AF144" s="164"/>
      <c r="AG144" s="165"/>
    </row>
    <row r="145" spans="31:33">
      <c r="AE145" s="164"/>
      <c r="AF145" s="164"/>
      <c r="AG145" s="165"/>
    </row>
    <row r="146" spans="31:33">
      <c r="AE146" s="164"/>
      <c r="AF146" s="164"/>
      <c r="AG146" s="165"/>
    </row>
    <row r="147" spans="31:33">
      <c r="AE147" s="164"/>
      <c r="AF147" s="164"/>
      <c r="AG147" s="165"/>
    </row>
    <row r="148" spans="31:33">
      <c r="AE148" s="164"/>
      <c r="AF148" s="164"/>
      <c r="AG148" s="165"/>
    </row>
    <row r="149" spans="31:33">
      <c r="AE149" s="164"/>
      <c r="AF149" s="164"/>
      <c r="AG149" s="165"/>
    </row>
    <row r="150" spans="31:33">
      <c r="AE150" s="164"/>
      <c r="AF150" s="164"/>
      <c r="AG150" s="165"/>
    </row>
    <row r="151" spans="31:33">
      <c r="AE151" s="164"/>
      <c r="AF151" s="164"/>
      <c r="AG151" s="165"/>
    </row>
    <row r="152" spans="31:33">
      <c r="AE152" s="164"/>
      <c r="AF152" s="164"/>
      <c r="AG152" s="165"/>
    </row>
    <row r="153" spans="31:33">
      <c r="AE153" s="164"/>
      <c r="AF153" s="164"/>
      <c r="AG153" s="165"/>
    </row>
    <row r="154" spans="31:33">
      <c r="AE154" s="164"/>
      <c r="AF154" s="164"/>
      <c r="AG154" s="165"/>
    </row>
    <row r="155" spans="31:33">
      <c r="AE155" s="164"/>
      <c r="AF155" s="164"/>
      <c r="AG155" s="165"/>
    </row>
    <row r="156" spans="31:33">
      <c r="AE156" s="164"/>
      <c r="AF156" s="164"/>
      <c r="AG156" s="165"/>
    </row>
    <row r="157" spans="31:33">
      <c r="AE157" s="164"/>
      <c r="AF157" s="164"/>
      <c r="AG157" s="165"/>
    </row>
    <row r="158" spans="31:33">
      <c r="AE158" s="164"/>
      <c r="AF158" s="164"/>
      <c r="AG158" s="165"/>
    </row>
    <row r="159" spans="31:33">
      <c r="AE159" s="164"/>
      <c r="AF159" s="164"/>
      <c r="AG159" s="165"/>
    </row>
    <row r="160" spans="31:33">
      <c r="AE160" s="164"/>
      <c r="AF160" s="164"/>
      <c r="AG160" s="165"/>
    </row>
    <row r="161" spans="31:33">
      <c r="AE161" s="164"/>
      <c r="AF161" s="164"/>
      <c r="AG161" s="165"/>
    </row>
    <row r="162" spans="31:33">
      <c r="AE162" s="164"/>
      <c r="AF162" s="164"/>
      <c r="AG162" s="165"/>
    </row>
    <row r="163" spans="31:33">
      <c r="AE163" s="164"/>
      <c r="AF163" s="164"/>
      <c r="AG163" s="165"/>
    </row>
    <row r="164" spans="31:33">
      <c r="AE164" s="164"/>
      <c r="AF164" s="164"/>
      <c r="AG164" s="165"/>
    </row>
    <row r="165" spans="31:33">
      <c r="AE165" s="164"/>
      <c r="AF165" s="164"/>
      <c r="AG165" s="165"/>
    </row>
    <row r="166" spans="31:33">
      <c r="AE166" s="164"/>
      <c r="AF166" s="164"/>
      <c r="AG166" s="165"/>
    </row>
    <row r="167" spans="31:33">
      <c r="AE167" s="164"/>
      <c r="AF167" s="164"/>
      <c r="AG167" s="165"/>
    </row>
    <row r="168" spans="31:33">
      <c r="AE168" s="164"/>
      <c r="AF168" s="164"/>
      <c r="AG168" s="165"/>
    </row>
    <row r="169" spans="31:33">
      <c r="AE169" s="164"/>
      <c r="AF169" s="164"/>
      <c r="AG169" s="165"/>
    </row>
    <row r="170" spans="31:33">
      <c r="AE170" s="164"/>
      <c r="AF170" s="164"/>
      <c r="AG170" s="165"/>
    </row>
    <row r="171" spans="31:33">
      <c r="AE171" s="164"/>
      <c r="AF171" s="164"/>
      <c r="AG171" s="165"/>
    </row>
    <row r="172" spans="31:33">
      <c r="AE172" s="164"/>
      <c r="AF172" s="164"/>
      <c r="AG172" s="165"/>
    </row>
    <row r="173" spans="31:33">
      <c r="AE173" s="164"/>
      <c r="AF173" s="164"/>
      <c r="AG173" s="165"/>
    </row>
    <row r="174" spans="31:33">
      <c r="AE174" s="164"/>
      <c r="AF174" s="164"/>
      <c r="AG174" s="165"/>
    </row>
    <row r="175" spans="31:33">
      <c r="AE175" s="164"/>
      <c r="AF175" s="164"/>
      <c r="AG175" s="165"/>
    </row>
    <row r="176" spans="31:33">
      <c r="AE176" s="164"/>
      <c r="AF176" s="164"/>
      <c r="AG176" s="165"/>
    </row>
    <row r="177" spans="31:33">
      <c r="AE177" s="164"/>
      <c r="AF177" s="164"/>
      <c r="AG177" s="165"/>
    </row>
    <row r="178" spans="31:33">
      <c r="AE178" s="164"/>
      <c r="AF178" s="164"/>
      <c r="AG178" s="165"/>
    </row>
    <row r="179" spans="31:33">
      <c r="AE179" s="164"/>
      <c r="AF179" s="164"/>
      <c r="AG179" s="165"/>
    </row>
    <row r="180" spans="31:33">
      <c r="AE180" s="164"/>
      <c r="AF180" s="164"/>
      <c r="AG180" s="165"/>
    </row>
    <row r="181" spans="31:33">
      <c r="AE181" s="164"/>
      <c r="AF181" s="164"/>
      <c r="AG181" s="165"/>
    </row>
    <row r="182" spans="31:33">
      <c r="AE182" s="164"/>
      <c r="AF182" s="164"/>
      <c r="AG182" s="165"/>
    </row>
    <row r="183" spans="31:33">
      <c r="AE183" s="164"/>
      <c r="AF183" s="164"/>
      <c r="AG183" s="165"/>
    </row>
    <row r="184" spans="31:33">
      <c r="AE184" s="164"/>
      <c r="AF184" s="164"/>
      <c r="AG184" s="165"/>
    </row>
    <row r="185" spans="31:33">
      <c r="AE185" s="164"/>
      <c r="AF185" s="164"/>
      <c r="AG185" s="165"/>
    </row>
    <row r="186" spans="31:33">
      <c r="AE186" s="164"/>
      <c r="AF186" s="164"/>
      <c r="AG186" s="165"/>
    </row>
    <row r="187" spans="31:33">
      <c r="AE187" s="164"/>
      <c r="AF187" s="164"/>
      <c r="AG187" s="165"/>
    </row>
    <row r="188" spans="31:33">
      <c r="AE188" s="164"/>
      <c r="AF188" s="164"/>
      <c r="AG188" s="165"/>
    </row>
    <row r="189" spans="31:33">
      <c r="AE189" s="164"/>
      <c r="AF189" s="164"/>
      <c r="AG189" s="165"/>
    </row>
    <row r="190" spans="31:33">
      <c r="AE190" s="164"/>
      <c r="AF190" s="164"/>
      <c r="AG190" s="165"/>
    </row>
    <row r="191" spans="31:33">
      <c r="AE191" s="164"/>
      <c r="AF191" s="164"/>
      <c r="AG191" s="165"/>
    </row>
    <row r="192" spans="31:33">
      <c r="AE192" s="164"/>
      <c r="AF192" s="164"/>
      <c r="AG192" s="165"/>
    </row>
    <row r="193" spans="31:33">
      <c r="AE193" s="164"/>
      <c r="AF193" s="164"/>
      <c r="AG193" s="165"/>
    </row>
    <row r="194" spans="31:33">
      <c r="AE194" s="164"/>
      <c r="AF194" s="164"/>
      <c r="AG194" s="165"/>
    </row>
    <row r="195" spans="31:33">
      <c r="AE195" s="164"/>
      <c r="AF195" s="164"/>
      <c r="AG195" s="165"/>
    </row>
    <row r="196" spans="31:33">
      <c r="AE196" s="164"/>
      <c r="AF196" s="164"/>
      <c r="AG196" s="165"/>
    </row>
    <row r="197" spans="31:33">
      <c r="AE197" s="164"/>
      <c r="AF197" s="164"/>
      <c r="AG197" s="165"/>
    </row>
    <row r="198" spans="31:33">
      <c r="AE198" s="164"/>
      <c r="AF198" s="164"/>
      <c r="AG198" s="165"/>
    </row>
    <row r="199" spans="31:33">
      <c r="AE199" s="164"/>
      <c r="AF199" s="164"/>
      <c r="AG199" s="165"/>
    </row>
    <row r="200" spans="31:33">
      <c r="AE200" s="164"/>
      <c r="AF200" s="164"/>
      <c r="AG200" s="165"/>
    </row>
    <row r="201" spans="31:33">
      <c r="AE201" s="164"/>
      <c r="AF201" s="164"/>
      <c r="AG201" s="165"/>
    </row>
    <row r="202" spans="31:33">
      <c r="AE202" s="164"/>
      <c r="AF202" s="164"/>
      <c r="AG202" s="165"/>
    </row>
    <row r="203" spans="31:33">
      <c r="AE203" s="164"/>
      <c r="AF203" s="164"/>
      <c r="AG203" s="165"/>
    </row>
    <row r="204" spans="31:33">
      <c r="AE204" s="164"/>
      <c r="AF204" s="164"/>
      <c r="AG204" s="165"/>
    </row>
    <row r="205" spans="31:33">
      <c r="AE205" s="164"/>
      <c r="AF205" s="164"/>
      <c r="AG205" s="165"/>
    </row>
    <row r="206" spans="31:33">
      <c r="AE206" s="164"/>
      <c r="AF206" s="164"/>
      <c r="AG206" s="165"/>
    </row>
    <row r="207" spans="31:33">
      <c r="AE207" s="164"/>
      <c r="AF207" s="164"/>
      <c r="AG207" s="165"/>
    </row>
    <row r="208" spans="31:33">
      <c r="AE208" s="164"/>
      <c r="AF208" s="164"/>
      <c r="AG208" s="165"/>
    </row>
    <row r="209" spans="31:33">
      <c r="AE209" s="164"/>
      <c r="AF209" s="164"/>
      <c r="AG209" s="165"/>
    </row>
    <row r="210" spans="31:33">
      <c r="AE210" s="164"/>
      <c r="AF210" s="164"/>
      <c r="AG210" s="165"/>
    </row>
    <row r="211" spans="31:33">
      <c r="AE211" s="164"/>
      <c r="AF211" s="164"/>
      <c r="AG211" s="165"/>
    </row>
    <row r="212" spans="31:33">
      <c r="AE212" s="164"/>
      <c r="AF212" s="164"/>
      <c r="AG212" s="165"/>
    </row>
    <row r="213" spans="31:33">
      <c r="AE213" s="164"/>
      <c r="AF213" s="164"/>
      <c r="AG213" s="165"/>
    </row>
    <row r="214" spans="31:33">
      <c r="AE214" s="164"/>
      <c r="AF214" s="164"/>
      <c r="AG214" s="165"/>
    </row>
    <row r="215" spans="31:33">
      <c r="AE215" s="164"/>
      <c r="AF215" s="164"/>
      <c r="AG215" s="165"/>
    </row>
    <row r="216" spans="31:33">
      <c r="AE216" s="164"/>
      <c r="AF216" s="164"/>
      <c r="AG216" s="165"/>
    </row>
    <row r="217" spans="31:33">
      <c r="AE217" s="164"/>
      <c r="AF217" s="164"/>
      <c r="AG217" s="165"/>
    </row>
    <row r="218" spans="31:33">
      <c r="AE218" s="164"/>
      <c r="AF218" s="164"/>
      <c r="AG218" s="165"/>
    </row>
    <row r="219" spans="31:33">
      <c r="AE219" s="164"/>
      <c r="AF219" s="164"/>
      <c r="AG219" s="165"/>
    </row>
    <row r="220" spans="31:33">
      <c r="AE220" s="164"/>
      <c r="AF220" s="164"/>
      <c r="AG220" s="165"/>
    </row>
    <row r="221" spans="31:33">
      <c r="AE221" s="164"/>
      <c r="AF221" s="164"/>
      <c r="AG221" s="165"/>
    </row>
    <row r="222" spans="31:33">
      <c r="AG222" s="165"/>
    </row>
    <row r="223" spans="31:33">
      <c r="AG223" s="165"/>
    </row>
    <row r="224" spans="31:33">
      <c r="AG224" s="165"/>
    </row>
    <row r="225" spans="33:33">
      <c r="AG225" s="165"/>
    </row>
    <row r="226" spans="33:33">
      <c r="AG226" s="165"/>
    </row>
    <row r="227" spans="33:33">
      <c r="AG227" s="165"/>
    </row>
    <row r="228" spans="33:33">
      <c r="AG228" s="165"/>
    </row>
  </sheetData>
  <phoneticPr fontId="1"/>
  <printOptions gridLinesSet="0"/>
  <pageMargins left="0.87" right="0.39370078740157483" top="0.9055118110236221" bottom="0.78740157480314965" header="0.35" footer="0.51181102362204722"/>
  <pageSetup paperSize="8" scale="55" pageOrder="overThenDown" orientation="landscape" horizontalDpi="0" verticalDpi="0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【閲覧用】成果表</vt:lpstr>
      <vt:lpstr>【別紙1】標高（入力）</vt:lpstr>
      <vt:lpstr>【別紙2】まとめ</vt:lpstr>
      <vt:lpstr>【別紙2】まとめ (2)</vt:lpstr>
      <vt:lpstr>【別紙３】沈下4地区（グラフ）</vt:lpstr>
      <vt:lpstr>←ここまで要確認</vt:lpstr>
      <vt:lpstr>【全期間】成果表実測値</vt:lpstr>
      <vt:lpstr>【全期間】成果表単年値</vt:lpstr>
      <vt:lpstr>【全期間】成果表実測値 (2)</vt:lpstr>
      <vt:lpstr>【参考】測量データ</vt:lpstr>
      <vt:lpstr>×【別紙3】沈下20地点（グラフ）</vt:lpstr>
      <vt:lpstr>H9</vt:lpstr>
      <vt:lpstr>H8</vt:lpstr>
      <vt:lpstr>H7</vt:lpstr>
      <vt:lpstr>【閲覧用】成果表!Print_Area</vt:lpstr>
      <vt:lpstr>【参考】測量データ!Print_Area</vt:lpstr>
      <vt:lpstr>【全期間】成果表実測値!Print_Area</vt:lpstr>
      <vt:lpstr>'【全期間】成果表実測値 (2)'!Print_Area</vt:lpstr>
      <vt:lpstr>【全期間】成果表単年値!Print_Area</vt:lpstr>
      <vt:lpstr>'【別紙1】標高（入力）'!Print_Area</vt:lpstr>
      <vt:lpstr>【別紙2】まとめ!Print_Area</vt:lpstr>
      <vt:lpstr>'【別紙2】まとめ (2)'!Print_Area</vt:lpstr>
      <vt:lpstr>'【別紙３】沈下4地区（グラフ）'!Print_Area</vt:lpstr>
      <vt:lpstr>'×【別紙3】沈下20地点（グラフ）'!Print_Area</vt:lpstr>
      <vt:lpstr>【閲覧用】成果表!Print_Titles</vt:lpstr>
      <vt:lpstr>【参考】測量データ!Print_Titles</vt:lpstr>
      <vt:lpstr>【全期間】成果表実測値!Print_Titles</vt:lpstr>
      <vt:lpstr>'【全期間】成果表実測値 (2)'!Print_Titles</vt:lpstr>
      <vt:lpstr>【全期間】成果表単年値!Print_Titles</vt:lpstr>
      <vt:lpstr>'【別紙1】標高（入力）'!Print_Titles</vt:lpstr>
      <vt:lpstr>'×【別紙3】沈下20地点（グラフ）'!Print_Titles</vt:lpstr>
    </vt:vector>
  </TitlesOfParts>
  <Company>札幌市 環境局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環境保全部 共通１</dc:creator>
  <cp:lastModifiedBy>大矢 悠平</cp:lastModifiedBy>
  <cp:lastPrinted>2025-05-20T00:51:14Z</cp:lastPrinted>
  <dcterms:created xsi:type="dcterms:W3CDTF">1997-10-20T02:05:44Z</dcterms:created>
  <dcterms:modified xsi:type="dcterms:W3CDTF">2025-05-20T00:54:22Z</dcterms:modified>
</cp:coreProperties>
</file>