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4\高齢保健福祉部\介護保険課\給付・認定係\介護給付\05-8 新総合事業\02_国保連関係（サービスコード、介護予防ケアマネジメント含む）\★サービスコード関係\R6.4　制度改正に伴うサービスコード表の変更\４　サービスコード確定版、QA、単位数表マスタ整備\掲載用\"/>
    </mc:Choice>
  </mc:AlternateContent>
  <xr:revisionPtr revIDLastSave="0" documentId="8_{8C4DFDB0-15B8-4C64-AF81-415D9116C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判定シート(R6.4.1~)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1" l="1"/>
  <c r="H38" i="11" l="1"/>
  <c r="J38" i="11" s="1"/>
  <c r="H30" i="11"/>
  <c r="V19" i="11"/>
  <c r="T21" i="11" s="1"/>
  <c r="V10" i="11"/>
  <c r="V11" i="11" s="1"/>
  <c r="H31" i="11" l="1"/>
  <c r="J30" i="11" s="1"/>
  <c r="J37" i="11"/>
  <c r="V20" i="11"/>
  <c r="T12" i="11"/>
  <c r="N16" i="11"/>
  <c r="L18" i="11" s="1"/>
  <c r="N7" i="11"/>
  <c r="L9" i="11" s="1"/>
  <c r="G19" i="11"/>
  <c r="G20" i="11" s="1"/>
  <c r="J31" i="11" l="1"/>
  <c r="N17" i="11"/>
  <c r="N8" i="11"/>
  <c r="E19" i="11"/>
  <c r="E20" i="11"/>
  <c r="E21" i="11" l="1"/>
  <c r="G9" i="11"/>
  <c r="G10" i="11" l="1"/>
  <c r="E10" i="11"/>
  <c r="E1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0116.高橋　豪</author>
  </authors>
  <commentList>
    <comment ref="N7" authorId="0" shapeId="0" xr:uid="{95E44A98-D4B4-489D-A721-26B2FBFB1BAC}">
      <text>
        <r>
          <rPr>
            <sz val="10"/>
            <color indexed="81"/>
            <rFont val="ＭＳ Ｐゴシック"/>
            <family val="3"/>
            <charset val="128"/>
          </rPr>
          <t>・利用回数に各単位数を乗じた単位数の合算となる場合は「回数」と表示
・合算で月額上限を超えている場合に「月額」と表示。</t>
        </r>
      </text>
    </comment>
    <comment ref="G9" authorId="0" shapeId="0" xr:uid="{9DDD8B15-6BFC-4C5F-BDE3-2443B2F1BC03}">
      <text>
        <r>
          <rPr>
            <sz val="10"/>
            <color indexed="81"/>
            <rFont val="ＭＳ Ｐゴシック"/>
            <family val="3"/>
            <charset val="128"/>
          </rPr>
          <t>・利用回数に各単位数を乗じた単位数の合算となる場合は「回数」と表示
・６０分以上のみかつ所定回数である場合、または、合算で月額上限を超えている場合に「月額」と表示。</t>
        </r>
      </text>
    </comment>
    <comment ref="V10" authorId="0" shapeId="0" xr:uid="{D724B5C2-D7C9-435A-80A2-7287CDAFD1C9}">
      <text>
        <r>
          <rPr>
            <sz val="10"/>
            <color indexed="81"/>
            <rFont val="ＭＳ Ｐゴシック"/>
            <family val="3"/>
            <charset val="128"/>
          </rPr>
          <t>・利用回数に各単位数を乗じた単位数の合算となる場合は「回数」と表示
・合算で月額上限を超えている場合に「月額」と表示。</t>
        </r>
      </text>
    </comment>
    <comment ref="N16" authorId="0" shapeId="0" xr:uid="{B9CF192E-8AF6-4F06-8BD5-26BEC08084E6}">
      <text>
        <r>
          <rPr>
            <sz val="10"/>
            <color indexed="81"/>
            <rFont val="ＭＳ Ｐゴシック"/>
            <family val="3"/>
            <charset val="128"/>
          </rPr>
          <t>・利用回数に各単位数を乗じた単位数の合算となる場合は「回数」と表示
・合算で月額上限を超えている場合に「月額」と表示。</t>
        </r>
      </text>
    </comment>
    <comment ref="G19" authorId="0" shapeId="0" xr:uid="{17ECCA53-99D6-48D2-B0E0-A2532A2E42B0}">
      <text>
        <r>
          <rPr>
            <sz val="10"/>
            <color indexed="81"/>
            <rFont val="ＭＳ Ｐゴシック"/>
            <family val="3"/>
            <charset val="128"/>
          </rPr>
          <t>・利用回数に各単位数を乗じた単位数の合算となる場合は「回数」と表示
・６０分以上のみかつ所定回数である場合、または、合算で月額上限を超えている場合に「月額」と表示。</t>
        </r>
      </text>
    </comment>
    <comment ref="V19" authorId="0" shapeId="0" xr:uid="{18C1F933-684C-44DE-B942-268BAB701248}">
      <text>
        <r>
          <rPr>
            <sz val="10"/>
            <color indexed="81"/>
            <rFont val="ＭＳ Ｐゴシック"/>
            <family val="3"/>
            <charset val="128"/>
          </rPr>
          <t>・利用回数に各単位数を乗じた単位数の合算となる場合は「回数」と表示
・合算で月額上限を超えている場合に「月額」と表示。</t>
        </r>
      </text>
    </comment>
    <comment ref="J30" authorId="0" shapeId="0" xr:uid="{CBF0544F-6626-43FA-ADD2-4CC55BB34AEE}">
      <text>
        <r>
          <rPr>
            <sz val="10"/>
            <color indexed="81"/>
            <rFont val="ＭＳ Ｐゴシック"/>
            <family val="3"/>
            <charset val="128"/>
          </rPr>
          <t xml:space="preserve">・利用回数に各単位数を乗じた単位数の合算となる場合は「回数」と表示
・各類型の利用上限を超えている場合、または、合算で月額上限を超えている場合に「月額」と表示。
</t>
        </r>
      </text>
    </comment>
    <comment ref="J37" authorId="0" shapeId="0" xr:uid="{08060CFE-79D2-4913-B48E-D667B88AFA73}">
      <text>
        <r>
          <rPr>
            <sz val="10"/>
            <color indexed="81"/>
            <rFont val="ＭＳ Ｐゴシック"/>
            <family val="3"/>
            <charset val="128"/>
          </rPr>
          <t xml:space="preserve">・利用回数に各単位数を乗じた単位数の合算となる場合は「回数」と表示
・各類型の利用上限を超えている場合、または、合算で月額上限を超えている場合に「月額」と表示。
</t>
        </r>
      </text>
    </comment>
  </commentList>
</comments>
</file>

<file path=xl/sharedStrings.xml><?xml version="1.0" encoding="utf-8"?>
<sst xmlns="http://schemas.openxmlformats.org/spreadsheetml/2006/main" count="145" uniqueCount="34">
  <si>
    <t>1回あたりの単位</t>
    <rPh sb="1" eb="2">
      <t>カイ</t>
    </rPh>
    <rPh sb="6" eb="8">
      <t>タンイ</t>
    </rPh>
    <phoneticPr fontId="2"/>
  </si>
  <si>
    <t>利用上限</t>
    <rPh sb="0" eb="2">
      <t>リヨウ</t>
    </rPh>
    <rPh sb="2" eb="4">
      <t>ジョウゲン</t>
    </rPh>
    <phoneticPr fontId="2"/>
  </si>
  <si>
    <t>日額</t>
    <rPh sb="0" eb="2">
      <t>ニチガク</t>
    </rPh>
    <phoneticPr fontId="2"/>
  </si>
  <si>
    <t>月額</t>
    <rPh sb="0" eb="2">
      <t>ゲツガク</t>
    </rPh>
    <phoneticPr fontId="2"/>
  </si>
  <si>
    <t>-</t>
    <phoneticPr fontId="2"/>
  </si>
  <si>
    <t>45分未満</t>
    <rPh sb="2" eb="3">
      <t>フン</t>
    </rPh>
    <rPh sb="3" eb="5">
      <t>ミマン</t>
    </rPh>
    <phoneticPr fontId="2"/>
  </si>
  <si>
    <t>45～60分未満</t>
    <rPh sb="5" eb="6">
      <t>フン</t>
    </rPh>
    <rPh sb="6" eb="8">
      <t>ミマン</t>
    </rPh>
    <phoneticPr fontId="2"/>
  </si>
  <si>
    <t>60分以上</t>
    <rPh sb="2" eb="3">
      <t>フン</t>
    </rPh>
    <rPh sb="3" eb="5">
      <t>イジョウ</t>
    </rPh>
    <phoneticPr fontId="2"/>
  </si>
  <si>
    <t>時間短縮型</t>
    <phoneticPr fontId="2"/>
  </si>
  <si>
    <t>事業対象者、
要支援１</t>
    <phoneticPr fontId="2"/>
  </si>
  <si>
    <t>【事業対象者、要支援１】</t>
    <phoneticPr fontId="2"/>
  </si>
  <si>
    <t>月額単位</t>
    <rPh sb="0" eb="2">
      <t>ゲツガク</t>
    </rPh>
    <rPh sb="2" eb="4">
      <t>タンイ</t>
    </rPh>
    <phoneticPr fontId="2"/>
  </si>
  <si>
    <t>利用回数</t>
    <rPh sb="0" eb="2">
      <t>リヨウ</t>
    </rPh>
    <rPh sb="2" eb="4">
      <t>カイスウ</t>
    </rPh>
    <phoneticPr fontId="2"/>
  </si>
  <si>
    <t>回数判定</t>
    <rPh sb="0" eb="2">
      <t>カイスウ</t>
    </rPh>
    <rPh sb="2" eb="4">
      <t>ハンテイ</t>
    </rPh>
    <phoneticPr fontId="2"/>
  </si>
  <si>
    <t>-</t>
  </si>
  <si>
    <t>総合事業　介護予防・生活支援サービス事業費　単位数判定シート</t>
    <rPh sb="0" eb="2">
      <t>ソウゴウ</t>
    </rPh>
    <rPh sb="2" eb="4">
      <t>ジギョウ</t>
    </rPh>
    <rPh sb="5" eb="7">
      <t>カイゴ</t>
    </rPh>
    <rPh sb="7" eb="9">
      <t>ヨボウ</t>
    </rPh>
    <rPh sb="10" eb="12">
      <t>セイカツ</t>
    </rPh>
    <rPh sb="12" eb="14">
      <t>シエン</t>
    </rPh>
    <rPh sb="18" eb="20">
      <t>ジギョウ</t>
    </rPh>
    <rPh sb="20" eb="21">
      <t>ヒ</t>
    </rPh>
    <rPh sb="22" eb="25">
      <t>タンイスウ</t>
    </rPh>
    <rPh sb="25" eb="27">
      <t>ハンテイ</t>
    </rPh>
    <phoneticPr fontId="2"/>
  </si>
  <si>
    <t>●訪問型独自サービス（A2）</t>
    <rPh sb="1" eb="4">
      <t>ホウモンガタ</t>
    </rPh>
    <rPh sb="4" eb="6">
      <t>ドクジ</t>
    </rPh>
    <phoneticPr fontId="2"/>
  </si>
  <si>
    <t>３</t>
    <phoneticPr fontId="2"/>
  </si>
  <si>
    <t>７</t>
    <phoneticPr fontId="2"/>
  </si>
  <si>
    <t>【要支援２】</t>
    <rPh sb="1" eb="4">
      <t>ヨウシエン</t>
    </rPh>
    <phoneticPr fontId="2"/>
  </si>
  <si>
    <t>要支援２</t>
    <rPh sb="0" eb="3">
      <t>ヨウシエン</t>
    </rPh>
    <phoneticPr fontId="2"/>
  </si>
  <si>
    <t>●通所型サービス（A6）</t>
    <rPh sb="1" eb="3">
      <t>ツウショ</t>
    </rPh>
    <rPh sb="3" eb="4">
      <t>カタ</t>
    </rPh>
    <phoneticPr fontId="2"/>
  </si>
  <si>
    <t>【標準的な内容の指定相当訪問型サービスのみの場合】</t>
    <rPh sb="1" eb="3">
      <t>ヒョウジュン</t>
    </rPh>
    <rPh sb="3" eb="4">
      <t>テキ</t>
    </rPh>
    <rPh sb="5" eb="7">
      <t>ナイヨウ</t>
    </rPh>
    <rPh sb="8" eb="10">
      <t>シテイ</t>
    </rPh>
    <rPh sb="10" eb="12">
      <t>ソウトウ</t>
    </rPh>
    <rPh sb="12" eb="14">
      <t>ホウモン</t>
    </rPh>
    <rPh sb="14" eb="15">
      <t>ガタ</t>
    </rPh>
    <rPh sb="22" eb="24">
      <t>バアイ</t>
    </rPh>
    <phoneticPr fontId="2"/>
  </si>
  <si>
    <t>①事業対象者・要支援１</t>
    <rPh sb="1" eb="6">
      <t>ジギョウタイショウシャ</t>
    </rPh>
    <rPh sb="7" eb="10">
      <t>ヨウシエン</t>
    </rPh>
    <phoneticPr fontId="2"/>
  </si>
  <si>
    <t>②要支援２</t>
    <rPh sb="1" eb="4">
      <t>ヨウシエン</t>
    </rPh>
    <phoneticPr fontId="2"/>
  </si>
  <si>
    <t>【生活援助中心型のみの場合】</t>
    <rPh sb="1" eb="8">
      <t>セイカツエンジョチュウシンガタ</t>
    </rPh>
    <rPh sb="11" eb="13">
      <t>バアイ</t>
    </rPh>
    <phoneticPr fontId="2"/>
  </si>
  <si>
    <t>20～45分未満</t>
    <rPh sb="5" eb="6">
      <t>フン</t>
    </rPh>
    <rPh sb="6" eb="8">
      <t>ミマン</t>
    </rPh>
    <phoneticPr fontId="2"/>
  </si>
  <si>
    <t>45分以上</t>
    <rPh sb="2" eb="3">
      <t>フン</t>
    </rPh>
    <rPh sb="3" eb="5">
      <t>イジョウ</t>
    </rPh>
    <phoneticPr fontId="2"/>
  </si>
  <si>
    <t>【標準的な内容の指定相当訪問型サービスと生活援助中心型の両方の場合】</t>
    <rPh sb="1" eb="3">
      <t>ヒョウジュン</t>
    </rPh>
    <rPh sb="3" eb="4">
      <t>テキ</t>
    </rPh>
    <rPh sb="5" eb="7">
      <t>ナイヨウ</t>
    </rPh>
    <rPh sb="8" eb="10">
      <t>シテイ</t>
    </rPh>
    <rPh sb="10" eb="12">
      <t>ソウトウ</t>
    </rPh>
    <rPh sb="12" eb="14">
      <t>ホウモン</t>
    </rPh>
    <rPh sb="14" eb="15">
      <t>ガタ</t>
    </rPh>
    <rPh sb="20" eb="26">
      <t>セイカツエンジョチュウシン</t>
    </rPh>
    <rPh sb="26" eb="27">
      <t>ガタ</t>
    </rPh>
    <rPh sb="28" eb="30">
      <t>リョウホウ</t>
    </rPh>
    <rPh sb="31" eb="33">
      <t>バアイ</t>
    </rPh>
    <phoneticPr fontId="2"/>
  </si>
  <si>
    <t>標準的な
内容の
指定相当
訪問型
サービス</t>
    <phoneticPr fontId="2"/>
  </si>
  <si>
    <t>生活援助
中心型</t>
    <phoneticPr fontId="2"/>
  </si>
  <si>
    <t>所定
単位数</t>
    <rPh sb="0" eb="2">
      <t>ショテイ</t>
    </rPh>
    <rPh sb="3" eb="6">
      <t>タンイスウ</t>
    </rPh>
    <phoneticPr fontId="2"/>
  </si>
  <si>
    <t>所定単位数</t>
    <rPh sb="0" eb="2">
      <t>ショテイ</t>
    </rPh>
    <rPh sb="2" eb="5">
      <t>タンイスウ</t>
    </rPh>
    <phoneticPr fontId="2"/>
  </si>
  <si>
    <t>通所介護
相当型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</si>
</sst>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単位&quot;"/>
    <numFmt numFmtId="178" formatCode="@&quot;回／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5" borderId="7" xfId="0" applyFill="1" applyBorder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7" xfId="0" applyFill="1" applyBorder="1" applyAlignment="1" applyProtection="1">
      <alignment horizontal="center" vertical="center"/>
    </xf>
    <xf numFmtId="176" fontId="3" fillId="4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Border="1" applyProtection="1">
      <alignment vertical="center"/>
    </xf>
    <xf numFmtId="176" fontId="3" fillId="4" borderId="2" xfId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Border="1" applyProtection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76" fontId="3" fillId="0" borderId="0" xfId="1" applyNumberFormat="1" applyFont="1" applyBorder="1" applyProtection="1">
      <alignment vertical="center"/>
    </xf>
    <xf numFmtId="176" fontId="5" fillId="4" borderId="1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176" fontId="3" fillId="6" borderId="10" xfId="1" applyNumberFormat="1" applyFont="1" applyFill="1" applyBorder="1" applyAlignment="1" applyProtection="1">
      <alignment horizontal="right" vertical="center"/>
    </xf>
    <xf numFmtId="176" fontId="3" fillId="6" borderId="9" xfId="1" applyNumberFormat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178" fontId="4" fillId="0" borderId="4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176" fontId="3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76" fontId="3" fillId="0" borderId="1" xfId="1" applyNumberFormat="1" applyFont="1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/>
    </xf>
    <xf numFmtId="0" fontId="0" fillId="5" borderId="18" xfId="0" applyFill="1" applyBorder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176" fontId="3" fillId="6" borderId="15" xfId="1" applyNumberFormat="1" applyFont="1" applyFill="1" applyBorder="1" applyAlignment="1" applyProtection="1">
      <alignment horizontal="right" vertical="center"/>
    </xf>
    <xf numFmtId="176" fontId="3" fillId="6" borderId="16" xfId="1" applyNumberFormat="1" applyFont="1" applyFill="1" applyBorder="1" applyAlignment="1" applyProtection="1">
      <alignment horizontal="right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スリップストリーム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スリップストリーム">
      <a:majorFont>
        <a:latin typeface="Trebuchet MS"/>
        <a:ea typeface=""/>
        <a:cs typeface=""/>
        <a:font script="Jpan" typeface="HGｺﾞｼｯｸM"/>
        <a:font script="Hang" typeface="HY그래픽B"/>
        <a:font script="Hans" typeface="方正姚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HGｺﾞｼｯｸM"/>
        <a:font script="Hang" typeface="HY그래픽M"/>
        <a:font script="Hans" typeface="方正姚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スリップストリーム">
      <a:fillStyleLst>
        <a:solidFill>
          <a:schemeClr val="phClr"/>
        </a:solidFill>
        <a:gradFill rotWithShape="1">
          <a:gsLst>
            <a:gs pos="28000">
              <a:schemeClr val="phClr">
                <a:tint val="18000"/>
                <a:satMod val="120000"/>
                <a:lumMod val="88000"/>
              </a:schemeClr>
            </a:gs>
            <a:gs pos="100000">
              <a:schemeClr val="phClr">
                <a:tint val="40000"/>
                <a:satMod val="100000"/>
                <a:lumMod val="7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95000"/>
              </a:schemeClr>
            </a:gs>
            <a:gs pos="100000">
              <a:schemeClr val="phClr">
                <a:shade val="82000"/>
                <a:satMod val="125000"/>
                <a:lumMod val="74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satMod val="125000"/>
              <a:lumMod val="7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50800" dir="5400000" sx="98000" sy="98000" rotWithShape="0">
              <a:srgbClr val="000000">
                <a:alpha val="20000"/>
              </a:srgbClr>
            </a:outerShdw>
          </a:effectLst>
        </a:effectStyle>
        <a:effectStyle>
          <a:effectLst>
            <a:outerShdw blurRad="40005" dist="22984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alanced" dir="tr"/>
          </a:scene3d>
          <a:sp3d prstMaterial="matte">
            <a:bevelT w="19050" h="38100"/>
          </a:sp3d>
        </a:effectStyle>
        <a:effectStyle>
          <a:effectLst>
            <a:reflection blurRad="38100" stA="26000" endPos="23000" dist="25400" dir="5400000" sy="-100000" rotWithShape="0"/>
          </a:effectLst>
          <a:scene3d>
            <a:camera prst="orthographicFront">
              <a:rot lat="0" lon="0" rev="0"/>
            </a:camera>
            <a:lightRig rig="balanced" dir="tr"/>
          </a:scene3d>
          <a:sp3d contourW="14605" prstMaterial="plastic">
            <a:bevelT w="50800"/>
            <a:contourClr>
              <a:schemeClr val="phClr">
                <a:shade val="30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shade val="90000"/>
                <a:satMod val="160000"/>
                <a:lumMod val="100000"/>
              </a:schemeClr>
            </a:gs>
            <a:gs pos="60000">
              <a:schemeClr val="phClr">
                <a:tint val="95000"/>
                <a:shade val="100000"/>
                <a:satMod val="130000"/>
                <a:lumMod val="130000"/>
              </a:schemeClr>
            </a:gs>
            <a:gs pos="100000">
              <a:schemeClr val="phClr">
                <a:tint val="97000"/>
                <a:shade val="100000"/>
                <a:hueMod val="100000"/>
                <a:satMod val="140000"/>
                <a:lumMod val="80000"/>
              </a:schemeClr>
            </a:gs>
          </a:gsLst>
          <a:path path="circle">
            <a:fillToRect l="20000" t="10000" r="20000" b="60000"/>
          </a:path>
        </a:gradFill>
        <a:gradFill rotWithShape="1">
          <a:gsLst>
            <a:gs pos="0">
              <a:schemeClr val="phClr">
                <a:tint val="94000"/>
                <a:satMod val="160000"/>
                <a:lumMod val="160000"/>
              </a:schemeClr>
            </a:gs>
            <a:gs pos="42000">
              <a:schemeClr val="phClr">
                <a:tint val="94000"/>
                <a:shade val="94000"/>
                <a:satMod val="160000"/>
                <a:lumMod val="130000"/>
              </a:schemeClr>
            </a:gs>
            <a:gs pos="100000">
              <a:schemeClr val="phClr">
                <a:tint val="97000"/>
                <a:shade val="94000"/>
                <a:satMod val="180000"/>
                <a:lumMod val="84000"/>
              </a:schemeClr>
            </a:gs>
          </a:gsLst>
          <a:path path="circle">
            <a:fillToRect l="24000" t="44000" r="24000" b="12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1A79-4EBD-4AFA-8988-B5C6FAE305FF}">
  <sheetPr>
    <pageSetUpPr fitToPage="1"/>
  </sheetPr>
  <dimension ref="B1:W42"/>
  <sheetViews>
    <sheetView tabSelected="1" zoomScale="85" zoomScaleNormal="85" zoomScaleSheetLayoutView="100" workbookViewId="0">
      <selection activeCell="E7" sqref="E7"/>
    </sheetView>
  </sheetViews>
  <sheetFormatPr defaultRowHeight="21.75" customHeight="1" x14ac:dyDescent="0.15"/>
  <cols>
    <col min="1" max="1" width="1.125" customWidth="1"/>
    <col min="2" max="2" width="15" customWidth="1"/>
    <col min="3" max="3" width="13.375" bestFit="1" customWidth="1"/>
    <col min="4" max="4" width="11.375" customWidth="1"/>
    <col min="5" max="5" width="11.125" customWidth="1"/>
    <col min="6" max="6" width="11.375" bestFit="1" customWidth="1"/>
    <col min="7" max="7" width="10.625" bestFit="1" customWidth="1"/>
    <col min="8" max="8" width="9.875" bestFit="1" customWidth="1"/>
    <col min="9" max="9" width="15" customWidth="1"/>
    <col min="10" max="10" width="13.375" bestFit="1" customWidth="1"/>
    <col min="11" max="11" width="11.375" customWidth="1"/>
    <col min="12" max="12" width="11.125" customWidth="1"/>
    <col min="13" max="13" width="11.375" bestFit="1" customWidth="1"/>
    <col min="14" max="14" width="10.625" bestFit="1" customWidth="1"/>
    <col min="15" max="15" width="9.875" customWidth="1"/>
    <col min="16" max="16" width="8.625" customWidth="1"/>
    <col min="17" max="17" width="13.375" bestFit="1" customWidth="1"/>
    <col min="18" max="18" width="11.375" customWidth="1"/>
    <col min="19" max="19" width="11.125" customWidth="1"/>
    <col min="20" max="20" width="11.375" bestFit="1" customWidth="1"/>
    <col min="21" max="21" width="10.625" bestFit="1" customWidth="1"/>
    <col min="22" max="22" width="9.875" customWidth="1"/>
    <col min="23" max="23" width="10.375" customWidth="1"/>
  </cols>
  <sheetData>
    <row r="1" spans="2:23" ht="21.75" customHeight="1" x14ac:dyDescent="0.15">
      <c r="B1" s="2" t="s">
        <v>15</v>
      </c>
      <c r="I1" s="2"/>
      <c r="P1" s="2"/>
    </row>
    <row r="2" spans="2:23" ht="12.75" customHeight="1" x14ac:dyDescent="0.15"/>
    <row r="3" spans="2:23" ht="21.75" customHeight="1" x14ac:dyDescent="0.15">
      <c r="B3" s="42" t="s">
        <v>16</v>
      </c>
      <c r="I3" s="22"/>
      <c r="P3" s="22"/>
    </row>
    <row r="4" spans="2:23" ht="21.75" customHeight="1" x14ac:dyDescent="0.15">
      <c r="B4" s="61" t="s">
        <v>22</v>
      </c>
      <c r="C4" s="61"/>
      <c r="D4" s="61"/>
      <c r="E4" s="61"/>
      <c r="F4" s="35"/>
      <c r="I4" s="61" t="s">
        <v>25</v>
      </c>
      <c r="J4" s="61"/>
      <c r="K4" s="61"/>
      <c r="L4" s="61"/>
      <c r="P4" s="61" t="s">
        <v>28</v>
      </c>
      <c r="Q4" s="61"/>
      <c r="R4" s="61"/>
      <c r="S4" s="61"/>
      <c r="T4" s="61"/>
      <c r="U4" s="61"/>
    </row>
    <row r="5" spans="2:23" ht="21.75" customHeight="1" x14ac:dyDescent="0.15">
      <c r="B5" s="3" t="s">
        <v>23</v>
      </c>
      <c r="I5" s="3" t="s">
        <v>23</v>
      </c>
      <c r="P5" s="3" t="s">
        <v>23</v>
      </c>
    </row>
    <row r="6" spans="2:23" ht="21.75" customHeight="1" thickBot="1" x14ac:dyDescent="0.2">
      <c r="B6" s="32"/>
      <c r="C6" s="5" t="s">
        <v>11</v>
      </c>
      <c r="D6" s="5" t="s">
        <v>0</v>
      </c>
      <c r="E6" s="6" t="s">
        <v>12</v>
      </c>
      <c r="I6" s="32"/>
      <c r="J6" s="5" t="s">
        <v>11</v>
      </c>
      <c r="K6" s="5" t="s">
        <v>0</v>
      </c>
      <c r="L6" s="6" t="s">
        <v>12</v>
      </c>
      <c r="P6" s="62"/>
      <c r="Q6" s="63"/>
      <c r="R6" s="5" t="s">
        <v>11</v>
      </c>
      <c r="S6" s="5" t="s">
        <v>0</v>
      </c>
      <c r="T6" s="6" t="s">
        <v>12</v>
      </c>
    </row>
    <row r="7" spans="2:23" ht="21.75" customHeight="1" x14ac:dyDescent="0.15">
      <c r="B7" s="27" t="s">
        <v>5</v>
      </c>
      <c r="C7" s="9" t="s">
        <v>14</v>
      </c>
      <c r="D7" s="10">
        <v>205</v>
      </c>
      <c r="E7" s="1"/>
      <c r="I7" s="27" t="s">
        <v>26</v>
      </c>
      <c r="J7" s="9" t="s">
        <v>14</v>
      </c>
      <c r="K7" s="10">
        <v>179</v>
      </c>
      <c r="L7" s="1"/>
      <c r="M7" s="25" t="s">
        <v>13</v>
      </c>
      <c r="N7" s="24" t="str">
        <f>IF(K7*L7+K8*L8&gt;J9,"月額","回数")</f>
        <v>回数</v>
      </c>
      <c r="P7" s="49" t="s">
        <v>29</v>
      </c>
      <c r="Q7" s="27" t="s">
        <v>5</v>
      </c>
      <c r="R7" s="9" t="s">
        <v>14</v>
      </c>
      <c r="S7" s="10">
        <v>205</v>
      </c>
      <c r="T7" s="1"/>
    </row>
    <row r="8" spans="2:23" ht="21.75" customHeight="1" thickBot="1" x14ac:dyDescent="0.2">
      <c r="B8" s="27" t="s">
        <v>6</v>
      </c>
      <c r="C8" s="9" t="s">
        <v>14</v>
      </c>
      <c r="D8" s="10">
        <v>277</v>
      </c>
      <c r="E8" s="1"/>
      <c r="I8" s="27" t="s">
        <v>27</v>
      </c>
      <c r="J8" s="9" t="s">
        <v>14</v>
      </c>
      <c r="K8" s="10">
        <v>220</v>
      </c>
      <c r="L8" s="1"/>
      <c r="M8" s="56" t="s">
        <v>31</v>
      </c>
      <c r="N8" s="58">
        <f>IF(N7="月額",J9,K7*L7+K8*L8)</f>
        <v>0</v>
      </c>
      <c r="P8" s="50"/>
      <c r="Q8" s="27" t="s">
        <v>6</v>
      </c>
      <c r="R8" s="9" t="s">
        <v>14</v>
      </c>
      <c r="S8" s="10">
        <v>277</v>
      </c>
      <c r="T8" s="1"/>
    </row>
    <row r="9" spans="2:23" ht="21.75" customHeight="1" thickBot="1" x14ac:dyDescent="0.2">
      <c r="B9" s="27" t="s">
        <v>7</v>
      </c>
      <c r="C9" s="9" t="s">
        <v>14</v>
      </c>
      <c r="D9" s="10">
        <v>287</v>
      </c>
      <c r="E9" s="1"/>
      <c r="F9" s="25" t="s">
        <v>13</v>
      </c>
      <c r="G9" s="24" t="str">
        <f>IF(OR(D7*E7+D8*E8+D9*E9&gt;2349,AND(E7="",E8="",E9=4),AND(E7=0,E8=0,E9=4),AND(E7="",E8="",E9=8),AND(E7=0,E8=0,E9=8)),"月額","回数")</f>
        <v>回数</v>
      </c>
      <c r="H9" s="33"/>
      <c r="I9" s="31" t="s">
        <v>3</v>
      </c>
      <c r="J9" s="38">
        <v>2349</v>
      </c>
      <c r="K9" s="13" t="s">
        <v>4</v>
      </c>
      <c r="L9" s="39" t="str">
        <f>IF(N7="月額","○","")</f>
        <v/>
      </c>
      <c r="M9" s="57"/>
      <c r="N9" s="59"/>
      <c r="O9" s="33"/>
      <c r="P9" s="50"/>
      <c r="Q9" s="27" t="s">
        <v>7</v>
      </c>
      <c r="R9" s="9" t="s">
        <v>14</v>
      </c>
      <c r="S9" s="10">
        <v>287</v>
      </c>
      <c r="T9" s="1"/>
      <c r="W9" s="33"/>
    </row>
    <row r="10" spans="2:23" ht="21.75" customHeight="1" x14ac:dyDescent="0.15">
      <c r="B10" s="47" t="s">
        <v>3</v>
      </c>
      <c r="C10" s="10">
        <v>1176</v>
      </c>
      <c r="D10" s="13" t="s">
        <v>4</v>
      </c>
      <c r="E10" s="21" t="str">
        <f>IF(OR(AND(E7="",E8="",E9=4,G9="月額"),AND(E7=0,E8=0,E9=4,G9="月額")),"○","")</f>
        <v/>
      </c>
      <c r="F10" s="56" t="s">
        <v>31</v>
      </c>
      <c r="G10" s="58">
        <f>IF(OR(AND(E7="",E8="",E9=4),AND(E7=0,E8=0,E9=4)),C10,IF(G9="月額",C11,IF(D7*E7+D8*E8+D9*E9&gt;C11,C11,D7*E7+D8*E8+D9*E9)))</f>
        <v>0</v>
      </c>
      <c r="H10" s="34"/>
      <c r="I10" s="14"/>
      <c r="J10" s="15"/>
      <c r="K10" s="16"/>
      <c r="L10" s="20"/>
      <c r="O10" s="34"/>
      <c r="P10" s="52" t="s">
        <v>30</v>
      </c>
      <c r="Q10" s="29" t="s">
        <v>26</v>
      </c>
      <c r="R10" s="9" t="s">
        <v>14</v>
      </c>
      <c r="S10" s="10">
        <v>179</v>
      </c>
      <c r="T10" s="40"/>
      <c r="U10" s="25" t="s">
        <v>13</v>
      </c>
      <c r="V10" s="24" t="str">
        <f>IF(S7*T7+S8*T8+S9*T9+S10*T10+S11*T11&gt;2349,"月額","回数")</f>
        <v>回数</v>
      </c>
      <c r="W10" s="34"/>
    </row>
    <row r="11" spans="2:23" ht="21.75" customHeight="1" thickBot="1" x14ac:dyDescent="0.2">
      <c r="B11" s="48"/>
      <c r="C11" s="10">
        <v>2349</v>
      </c>
      <c r="D11" s="13" t="s">
        <v>4</v>
      </c>
      <c r="E11" s="21" t="str">
        <f>IF(G9="回数","",IF(E10="○","","○"))</f>
        <v/>
      </c>
      <c r="F11" s="57"/>
      <c r="G11" s="59"/>
      <c r="H11" s="34"/>
      <c r="I11" s="14"/>
      <c r="J11" s="15"/>
      <c r="K11" s="16"/>
      <c r="L11" s="20"/>
      <c r="O11" s="34"/>
      <c r="P11" s="53"/>
      <c r="Q11" s="30" t="s">
        <v>27</v>
      </c>
      <c r="R11" s="9" t="s">
        <v>14</v>
      </c>
      <c r="S11" s="10">
        <v>220</v>
      </c>
      <c r="T11" s="40"/>
      <c r="U11" s="56" t="s">
        <v>31</v>
      </c>
      <c r="V11" s="58">
        <f>IF(V10="月額",R12,IF(S7*T7+S8*T8+S9*T9+S10*T10+S11*T11&gt;R12,R12,S7*T7+S8*T8+S9*T9+S10*T10+S11*T11))</f>
        <v>0</v>
      </c>
      <c r="W11" s="34"/>
    </row>
    <row r="12" spans="2:23" ht="21.75" customHeight="1" thickBot="1" x14ac:dyDescent="0.2">
      <c r="B12" s="14"/>
      <c r="C12" s="15"/>
      <c r="D12" s="16"/>
      <c r="E12" s="20"/>
      <c r="H12" s="34"/>
      <c r="I12" s="14"/>
      <c r="J12" s="15"/>
      <c r="K12" s="16"/>
      <c r="L12" s="20"/>
      <c r="M12" s="36"/>
      <c r="N12" s="34"/>
      <c r="O12" s="34"/>
      <c r="P12" s="54" t="s">
        <v>3</v>
      </c>
      <c r="Q12" s="55"/>
      <c r="R12" s="38">
        <v>2349</v>
      </c>
      <c r="S12" s="13" t="s">
        <v>4</v>
      </c>
      <c r="T12" s="39" t="str">
        <f>IF(V10="月額","○","")</f>
        <v/>
      </c>
      <c r="U12" s="57"/>
      <c r="V12" s="59"/>
      <c r="W12" s="34"/>
    </row>
    <row r="13" spans="2:23" ht="21.75" customHeight="1" x14ac:dyDescent="0.15">
      <c r="B13" s="14"/>
      <c r="C13" s="15"/>
      <c r="D13" s="16"/>
      <c r="E13" s="20"/>
      <c r="H13" s="34"/>
      <c r="I13" s="14"/>
      <c r="J13" s="15"/>
      <c r="K13" s="16"/>
      <c r="L13" s="20"/>
      <c r="M13" s="36"/>
      <c r="N13" s="34"/>
      <c r="O13" s="34"/>
      <c r="P13" s="14"/>
      <c r="Q13" s="15"/>
      <c r="R13" s="16"/>
      <c r="S13" s="20"/>
      <c r="W13" s="34"/>
    </row>
    <row r="14" spans="2:23" ht="21.75" customHeight="1" x14ac:dyDescent="0.15">
      <c r="B14" s="3" t="s">
        <v>24</v>
      </c>
      <c r="H14" s="34"/>
      <c r="I14" s="3" t="s">
        <v>24</v>
      </c>
      <c r="O14" s="34"/>
      <c r="P14" s="3" t="s">
        <v>24</v>
      </c>
      <c r="V14" s="34"/>
      <c r="W14" s="34"/>
    </row>
    <row r="15" spans="2:23" ht="21.75" customHeight="1" thickBot="1" x14ac:dyDescent="0.2">
      <c r="B15" s="32"/>
      <c r="C15" s="5" t="s">
        <v>11</v>
      </c>
      <c r="D15" s="5" t="s">
        <v>0</v>
      </c>
      <c r="E15" s="6" t="s">
        <v>12</v>
      </c>
      <c r="H15" s="34"/>
      <c r="I15" s="32"/>
      <c r="J15" s="5" t="s">
        <v>11</v>
      </c>
      <c r="K15" s="5" t="s">
        <v>0</v>
      </c>
      <c r="L15" s="6" t="s">
        <v>12</v>
      </c>
      <c r="P15" s="62"/>
      <c r="Q15" s="63"/>
      <c r="R15" s="5" t="s">
        <v>11</v>
      </c>
      <c r="S15" s="5" t="s">
        <v>0</v>
      </c>
      <c r="T15" s="6" t="s">
        <v>12</v>
      </c>
      <c r="V15" s="34"/>
      <c r="W15" s="34"/>
    </row>
    <row r="16" spans="2:23" ht="21.75" customHeight="1" x14ac:dyDescent="0.15">
      <c r="B16" s="27" t="s">
        <v>5</v>
      </c>
      <c r="C16" s="9" t="s">
        <v>14</v>
      </c>
      <c r="D16" s="10">
        <v>205</v>
      </c>
      <c r="E16" s="1"/>
      <c r="I16" s="27" t="s">
        <v>26</v>
      </c>
      <c r="J16" s="9" t="s">
        <v>14</v>
      </c>
      <c r="K16" s="10">
        <v>179</v>
      </c>
      <c r="L16" s="1"/>
      <c r="M16" s="25" t="s">
        <v>13</v>
      </c>
      <c r="N16" s="24" t="str">
        <f>IF(K16*L16+K17*L17&gt;J18,"月額","回数")</f>
        <v>回数</v>
      </c>
      <c r="P16" s="49" t="s">
        <v>29</v>
      </c>
      <c r="Q16" s="27" t="s">
        <v>5</v>
      </c>
      <c r="R16" s="9" t="s">
        <v>14</v>
      </c>
      <c r="S16" s="10">
        <v>205</v>
      </c>
      <c r="T16" s="1"/>
      <c r="W16" s="34"/>
    </row>
    <row r="17" spans="2:23" ht="21.75" customHeight="1" x14ac:dyDescent="0.15">
      <c r="B17" s="27" t="s">
        <v>6</v>
      </c>
      <c r="C17" s="9" t="s">
        <v>14</v>
      </c>
      <c r="D17" s="10">
        <v>277</v>
      </c>
      <c r="E17" s="1"/>
      <c r="I17" s="27" t="s">
        <v>27</v>
      </c>
      <c r="J17" s="9" t="s">
        <v>14</v>
      </c>
      <c r="K17" s="10">
        <v>220</v>
      </c>
      <c r="L17" s="1"/>
      <c r="M17" s="56" t="s">
        <v>31</v>
      </c>
      <c r="N17" s="58">
        <f>IF(N16="月額",J18,K16*L16+K17*L17)</f>
        <v>0</v>
      </c>
      <c r="P17" s="50"/>
      <c r="Q17" s="27" t="s">
        <v>6</v>
      </c>
      <c r="R17" s="9" t="s">
        <v>14</v>
      </c>
      <c r="S17" s="10">
        <v>277</v>
      </c>
      <c r="T17" s="1"/>
      <c r="W17" s="34"/>
    </row>
    <row r="18" spans="2:23" ht="21.75" customHeight="1" thickBot="1" x14ac:dyDescent="0.2">
      <c r="B18" s="27" t="s">
        <v>7</v>
      </c>
      <c r="C18" s="9" t="s">
        <v>14</v>
      </c>
      <c r="D18" s="10">
        <v>287</v>
      </c>
      <c r="E18" s="1"/>
      <c r="I18" s="31" t="s">
        <v>3</v>
      </c>
      <c r="J18" s="38">
        <v>3727</v>
      </c>
      <c r="K18" s="13" t="s">
        <v>4</v>
      </c>
      <c r="L18" s="39" t="str">
        <f>IF(N16="月額","○","")</f>
        <v/>
      </c>
      <c r="M18" s="57"/>
      <c r="N18" s="59"/>
      <c r="P18" s="50"/>
      <c r="Q18" s="27" t="s">
        <v>7</v>
      </c>
      <c r="R18" s="9" t="s">
        <v>14</v>
      </c>
      <c r="S18" s="10">
        <v>287</v>
      </c>
      <c r="T18" s="1"/>
      <c r="W18" s="34"/>
    </row>
    <row r="19" spans="2:23" ht="21.75" customHeight="1" x14ac:dyDescent="0.15">
      <c r="B19" s="47" t="s">
        <v>3</v>
      </c>
      <c r="C19" s="10">
        <v>1176</v>
      </c>
      <c r="D19" s="13" t="s">
        <v>4</v>
      </c>
      <c r="E19" s="21" t="str">
        <f>IF(OR(AND(E16="",E17="",E18=4,G19="月額"),AND(E16=0,E17=0,E18=4,G19="月額")),"○","")</f>
        <v/>
      </c>
      <c r="F19" s="25" t="s">
        <v>13</v>
      </c>
      <c r="G19" s="24" t="str">
        <f>IF(OR(D16*E16+D17*E17+D18*E18&gt;3727,AND(E16="",E17="",E18=4),AND(E16=0,E17=0,E18=4),AND(E16="",E17="",E18=8),AND(E16=0,E17=0,E18=8)),"月額","回数")</f>
        <v>回数</v>
      </c>
      <c r="P19" s="52" t="s">
        <v>30</v>
      </c>
      <c r="Q19" s="29" t="s">
        <v>26</v>
      </c>
      <c r="R19" s="9" t="s">
        <v>14</v>
      </c>
      <c r="S19" s="10">
        <v>179</v>
      </c>
      <c r="T19" s="1"/>
      <c r="U19" s="25" t="s">
        <v>13</v>
      </c>
      <c r="V19" s="24" t="str">
        <f>IF(S16*T16+S17*T17+S18*T18+S19*T19+S20*T20&gt;3727,"月額","回数")</f>
        <v>回数</v>
      </c>
      <c r="W19" s="34"/>
    </row>
    <row r="20" spans="2:23" ht="21.75" customHeight="1" x14ac:dyDescent="0.15">
      <c r="B20" s="60"/>
      <c r="C20" s="10">
        <v>2349</v>
      </c>
      <c r="D20" s="13" t="s">
        <v>4</v>
      </c>
      <c r="E20" s="21" t="str">
        <f>IF(OR(AND(E16="",E17="",E18=8,G19="月額"),AND(E16=0,E17=0,E18=8,G19="月額")),"○","")</f>
        <v/>
      </c>
      <c r="F20" s="56" t="s">
        <v>31</v>
      </c>
      <c r="G20" s="58">
        <f>IF(OR(AND(E16="",E17="",E18=4),AND(E16=0,E17=0,E18=4),),C19,IF(OR(AND(E16="",E17="",E18=8),AND(E16=0,E17=0,E18=8)),C20,IF(G19="月額",C21,IF(D16*E16+D17*E17+D18*E18&gt;C21,C21,D16*E16+D17*E17+D18*E18))))</f>
        <v>0</v>
      </c>
      <c r="P20" s="53"/>
      <c r="Q20" s="30" t="s">
        <v>27</v>
      </c>
      <c r="R20" s="9" t="s">
        <v>14</v>
      </c>
      <c r="S20" s="10">
        <v>220</v>
      </c>
      <c r="T20" s="1"/>
      <c r="U20" s="56" t="s">
        <v>31</v>
      </c>
      <c r="V20" s="58">
        <f>IF(V19="月額",R21,S16*T16+S17*T17+S18*T18+S19*T19+S20*T20)</f>
        <v>0</v>
      </c>
      <c r="W20" s="34"/>
    </row>
    <row r="21" spans="2:23" ht="22.5" customHeight="1" thickBot="1" x14ac:dyDescent="0.2">
      <c r="B21" s="48"/>
      <c r="C21" s="10">
        <v>3727</v>
      </c>
      <c r="D21" s="13" t="s">
        <v>4</v>
      </c>
      <c r="E21" s="21" t="str">
        <f>IF(G19="回数","",IF(E19="○","",IF(E20="○","","○")))</f>
        <v/>
      </c>
      <c r="F21" s="57"/>
      <c r="G21" s="59"/>
      <c r="P21" s="54" t="s">
        <v>3</v>
      </c>
      <c r="Q21" s="55"/>
      <c r="R21" s="10">
        <v>3727</v>
      </c>
      <c r="S21" s="13" t="s">
        <v>4</v>
      </c>
      <c r="T21" s="21" t="str">
        <f>IF(V19="回数","","○")</f>
        <v/>
      </c>
      <c r="U21" s="57"/>
      <c r="V21" s="59"/>
      <c r="W21" s="34"/>
    </row>
    <row r="22" spans="2:23" ht="22.5" customHeight="1" x14ac:dyDescent="0.15">
      <c r="B22" s="14"/>
      <c r="C22" s="15"/>
      <c r="D22" s="16"/>
      <c r="E22" s="20"/>
      <c r="P22" s="41"/>
      <c r="Q22" s="41"/>
      <c r="W22" s="34"/>
    </row>
    <row r="23" spans="2:23" ht="22.5" customHeight="1" x14ac:dyDescent="0.15">
      <c r="B23" s="14"/>
      <c r="C23" s="15"/>
      <c r="D23" s="16"/>
      <c r="E23" s="20"/>
      <c r="P23" s="41"/>
      <c r="Q23" s="41"/>
      <c r="W23" s="34"/>
    </row>
    <row r="24" spans="2:23" ht="21.75" customHeight="1" x14ac:dyDescent="0.15">
      <c r="B24" s="14"/>
      <c r="C24" s="15"/>
      <c r="D24" s="16"/>
      <c r="E24" s="20"/>
      <c r="W24" s="34"/>
    </row>
    <row r="25" spans="2:23" ht="21.75" customHeight="1" x14ac:dyDescent="0.15">
      <c r="B25" s="4" t="s">
        <v>21</v>
      </c>
      <c r="W25" s="34"/>
    </row>
    <row r="26" spans="2:23" ht="21.75" customHeight="1" x14ac:dyDescent="0.15">
      <c r="B26" s="3" t="s">
        <v>10</v>
      </c>
      <c r="W26" s="34"/>
    </row>
    <row r="27" spans="2:23" ht="21.75" customHeight="1" x14ac:dyDescent="0.15">
      <c r="B27" s="44"/>
      <c r="C27" s="45"/>
      <c r="D27" s="45"/>
      <c r="E27" s="7" t="s">
        <v>11</v>
      </c>
      <c r="F27" s="7" t="s">
        <v>0</v>
      </c>
      <c r="G27" s="28" t="s">
        <v>1</v>
      </c>
      <c r="H27" s="8" t="s">
        <v>12</v>
      </c>
    </row>
    <row r="28" spans="2:23" ht="26.25" customHeight="1" x14ac:dyDescent="0.15">
      <c r="B28" s="49" t="s">
        <v>9</v>
      </c>
      <c r="C28" s="46" t="s">
        <v>2</v>
      </c>
      <c r="D28" s="37" t="s">
        <v>33</v>
      </c>
      <c r="E28" s="11" t="s">
        <v>14</v>
      </c>
      <c r="F28" s="12">
        <v>436</v>
      </c>
      <c r="G28" s="26" t="s">
        <v>17</v>
      </c>
      <c r="H28" s="1"/>
    </row>
    <row r="29" spans="2:23" ht="26.25" customHeight="1" thickBot="1" x14ac:dyDescent="0.2">
      <c r="B29" s="50"/>
      <c r="C29" s="46"/>
      <c r="D29" s="37" t="s">
        <v>8</v>
      </c>
      <c r="E29" s="9" t="s">
        <v>14</v>
      </c>
      <c r="F29" s="10">
        <v>359</v>
      </c>
      <c r="G29" s="26" t="s">
        <v>17</v>
      </c>
      <c r="H29" s="1"/>
    </row>
    <row r="30" spans="2:23" ht="26.25" customHeight="1" x14ac:dyDescent="0.15">
      <c r="B30" s="50"/>
      <c r="C30" s="47" t="s">
        <v>3</v>
      </c>
      <c r="D30" s="37" t="s">
        <v>33</v>
      </c>
      <c r="E30" s="10">
        <v>1798</v>
      </c>
      <c r="F30" s="17" t="s">
        <v>4</v>
      </c>
      <c r="G30" s="18" t="s">
        <v>4</v>
      </c>
      <c r="H30" s="19" t="str">
        <f>IF(OR(H28&gt;3,AND(F28*H28+F29*H29&gt;E30,H28&gt;0))=TRUE,"○","")</f>
        <v/>
      </c>
      <c r="I30" s="25" t="s">
        <v>13</v>
      </c>
      <c r="J30" s="24" t="str">
        <f>IF(OR(H30="○",H31="○")=TRUE,"月額","回数")</f>
        <v>回数</v>
      </c>
    </row>
    <row r="31" spans="2:23" ht="26.25" customHeight="1" thickBot="1" x14ac:dyDescent="0.2">
      <c r="B31" s="51"/>
      <c r="C31" s="48"/>
      <c r="D31" s="37" t="s">
        <v>8</v>
      </c>
      <c r="E31" s="10">
        <v>1438</v>
      </c>
      <c r="F31" s="17" t="s">
        <v>4</v>
      </c>
      <c r="G31" s="18" t="s">
        <v>4</v>
      </c>
      <c r="H31" s="39" t="str">
        <f>IF(AND(H30="",H29&gt;3)=TRUE,"○","")</f>
        <v/>
      </c>
      <c r="I31" s="43" t="s">
        <v>32</v>
      </c>
      <c r="J31" s="23">
        <f>IF(H30="○",E30,IF(H31="○",E31,F28*H28+F29*H29))</f>
        <v>0</v>
      </c>
      <c r="O31" s="36"/>
      <c r="V31" s="36"/>
    </row>
    <row r="33" spans="2:23" ht="21.75" customHeight="1" x14ac:dyDescent="0.15">
      <c r="B33" s="3" t="s">
        <v>19</v>
      </c>
    </row>
    <row r="34" spans="2:23" ht="21.75" customHeight="1" x14ac:dyDescent="0.15">
      <c r="B34" s="44"/>
      <c r="C34" s="45"/>
      <c r="D34" s="45"/>
      <c r="E34" s="7" t="s">
        <v>11</v>
      </c>
      <c r="F34" s="7" t="s">
        <v>0</v>
      </c>
      <c r="G34" s="28" t="s">
        <v>1</v>
      </c>
      <c r="H34" s="8" t="s">
        <v>12</v>
      </c>
    </row>
    <row r="35" spans="2:23" ht="26.25" customHeight="1" x14ac:dyDescent="0.15">
      <c r="B35" s="49" t="s">
        <v>20</v>
      </c>
      <c r="C35" s="46" t="s">
        <v>2</v>
      </c>
      <c r="D35" s="37" t="s">
        <v>33</v>
      </c>
      <c r="E35" s="11" t="s">
        <v>14</v>
      </c>
      <c r="F35" s="12">
        <v>447</v>
      </c>
      <c r="G35" s="26" t="s">
        <v>18</v>
      </c>
      <c r="H35" s="1"/>
    </row>
    <row r="36" spans="2:23" ht="26.25" customHeight="1" thickBot="1" x14ac:dyDescent="0.2">
      <c r="B36" s="50"/>
      <c r="C36" s="46"/>
      <c r="D36" s="37" t="s">
        <v>8</v>
      </c>
      <c r="E36" s="9" t="s">
        <v>14</v>
      </c>
      <c r="F36" s="10">
        <v>361</v>
      </c>
      <c r="G36" s="26" t="s">
        <v>18</v>
      </c>
      <c r="H36" s="1"/>
    </row>
    <row r="37" spans="2:23" ht="26.25" customHeight="1" x14ac:dyDescent="0.15">
      <c r="B37" s="50"/>
      <c r="C37" s="47" t="s">
        <v>3</v>
      </c>
      <c r="D37" s="37" t="s">
        <v>33</v>
      </c>
      <c r="E37" s="10">
        <v>3621</v>
      </c>
      <c r="F37" s="17" t="s">
        <v>4</v>
      </c>
      <c r="G37" s="18" t="s">
        <v>4</v>
      </c>
      <c r="H37" s="19" t="str">
        <f>IF(OR(H35&gt;7,AND(F35*H35+F36*H36&gt;E37,H35&gt;0),AND(H36&gt;7,H35&gt;0))=TRUE,"○","")</f>
        <v/>
      </c>
      <c r="I37" s="25" t="s">
        <v>13</v>
      </c>
      <c r="J37" s="24" t="str">
        <f>IF(OR(H37="○",H38="○")=TRUE,"月額","回数")</f>
        <v>回数</v>
      </c>
    </row>
    <row r="38" spans="2:23" ht="26.25" customHeight="1" thickBot="1" x14ac:dyDescent="0.2">
      <c r="B38" s="51"/>
      <c r="C38" s="48"/>
      <c r="D38" s="37" t="s">
        <v>8</v>
      </c>
      <c r="E38" s="10">
        <v>2896</v>
      </c>
      <c r="F38" s="17" t="s">
        <v>4</v>
      </c>
      <c r="G38" s="18" t="s">
        <v>4</v>
      </c>
      <c r="H38" s="39" t="str">
        <f>IF(AND(H37="",H36&gt;7)=TRUE,"○","")</f>
        <v/>
      </c>
      <c r="I38" s="43" t="s">
        <v>32</v>
      </c>
      <c r="J38" s="23">
        <f>IF(H37="○",E37,IF(H38="○",E38,F35*H35+F36*H36))</f>
        <v>0</v>
      </c>
    </row>
    <row r="41" spans="2:23" ht="21.75" customHeight="1" x14ac:dyDescent="0.15">
      <c r="W41" s="36"/>
    </row>
    <row r="42" spans="2:23" ht="21.75" customHeight="1" x14ac:dyDescent="0.15">
      <c r="W42" s="34"/>
    </row>
  </sheetData>
  <sheetProtection sheet="1" selectLockedCells="1"/>
  <mergeCells count="33">
    <mergeCell ref="V20:V21"/>
    <mergeCell ref="P15:Q15"/>
    <mergeCell ref="V11:V12"/>
    <mergeCell ref="M17:M18"/>
    <mergeCell ref="N17:N18"/>
    <mergeCell ref="I4:L4"/>
    <mergeCell ref="M8:M9"/>
    <mergeCell ref="N8:N9"/>
    <mergeCell ref="P6:Q6"/>
    <mergeCell ref="U11:U12"/>
    <mergeCell ref="P21:Q21"/>
    <mergeCell ref="F20:F21"/>
    <mergeCell ref="G20:G21"/>
    <mergeCell ref="B19:B21"/>
    <mergeCell ref="B4:E4"/>
    <mergeCell ref="B10:B11"/>
    <mergeCell ref="F10:F11"/>
    <mergeCell ref="G10:G11"/>
    <mergeCell ref="P4:U4"/>
    <mergeCell ref="U20:U21"/>
    <mergeCell ref="P7:P9"/>
    <mergeCell ref="P10:P11"/>
    <mergeCell ref="P12:Q12"/>
    <mergeCell ref="P16:P18"/>
    <mergeCell ref="P19:P20"/>
    <mergeCell ref="B34:D34"/>
    <mergeCell ref="C35:C36"/>
    <mergeCell ref="C37:C38"/>
    <mergeCell ref="B35:B38"/>
    <mergeCell ref="B27:D27"/>
    <mergeCell ref="C28:C29"/>
    <mergeCell ref="C30:C31"/>
    <mergeCell ref="B28:B31"/>
  </mergeCells>
  <phoneticPr fontId="2"/>
  <conditionalFormatting sqref="E10:E11 T21">
    <cfRule type="containsText" dxfId="6" priority="13" stopIfTrue="1" operator="containsText" text="○">
      <formula>NOT(ISERROR(SEARCH("○",E10)))</formula>
    </cfRule>
  </conditionalFormatting>
  <conditionalFormatting sqref="E19:E21">
    <cfRule type="containsText" dxfId="5" priority="9" stopIfTrue="1" operator="containsText" text="○">
      <formula>NOT(ISERROR(SEARCH("○",E19)))</formula>
    </cfRule>
  </conditionalFormatting>
  <conditionalFormatting sqref="L9">
    <cfRule type="containsText" dxfId="4" priority="8" stopIfTrue="1" operator="containsText" text="○">
      <formula>NOT(ISERROR(SEARCH("○",L9)))</formula>
    </cfRule>
  </conditionalFormatting>
  <conditionalFormatting sqref="L18">
    <cfRule type="containsText" dxfId="3" priority="6" stopIfTrue="1" operator="containsText" text="○">
      <formula>NOT(ISERROR(SEARCH("○",L18)))</formula>
    </cfRule>
  </conditionalFormatting>
  <conditionalFormatting sqref="T12">
    <cfRule type="containsText" dxfId="2" priority="3" stopIfTrue="1" operator="containsText" text="○">
      <formula>NOT(ISERROR(SEARCH("○",T12)))</formula>
    </cfRule>
  </conditionalFormatting>
  <conditionalFormatting sqref="H30:H31">
    <cfRule type="containsText" dxfId="1" priority="2" stopIfTrue="1" operator="containsText" text="○">
      <formula>NOT(ISERROR(SEARCH("○",H30)))</formula>
    </cfRule>
  </conditionalFormatting>
  <conditionalFormatting sqref="H37:H38">
    <cfRule type="containsText" dxfId="0" priority="1" stopIfTrue="1" operator="containsText" text="○">
      <formula>NOT(ISERROR(SEARCH("○",H37)))</formula>
    </cfRule>
  </conditionalFormatting>
  <dataValidations count="1">
    <dataValidation type="whole" allowBlank="1" showInputMessage="1" showErrorMessage="1" sqref="E7:E9 E16:E18 L7:L8 L16:L17 T16:T20 T7:T11 H28:H29 H35:H36" xr:uid="{23A53167-15FD-4B33-AE0A-02103C43B2E3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判定シート(R6.4.1~)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s980614</dc:creator>
  <cp:lastModifiedBy>田宮 凌</cp:lastModifiedBy>
  <cp:lastPrinted>2024-04-22T07:11:22Z</cp:lastPrinted>
  <dcterms:created xsi:type="dcterms:W3CDTF">2011-11-08T06:43:10Z</dcterms:created>
  <dcterms:modified xsi:type="dcterms:W3CDTF">2024-04-25T11:37:25Z</dcterms:modified>
</cp:coreProperties>
</file>