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175" windowHeight="10080" activeTab="0"/>
  </bookViews>
  <sheets>
    <sheet name="格付け" sheetId="1" r:id="rId1"/>
    <sheet name="data1" sheetId="2" r:id="rId2"/>
    <sheet name="data2" sheetId="3" r:id="rId3"/>
    <sheet name="data3" sheetId="4" r:id="rId4"/>
    <sheet name="data4" sheetId="5" r:id="rId5"/>
    <sheet name="data5" sheetId="6" r:id="rId6"/>
  </sheets>
  <definedNames>
    <definedName name="_xlnm.Print_Area" localSheetId="0">'格付け'!$B$1:$K$120</definedName>
    <definedName name="ｲ">#REF!</definedName>
    <definedName name="ｲﾛ">#REF!</definedName>
    <definedName name="その他2">#REF!</definedName>
    <definedName name="その他3">#REF!</definedName>
    <definedName name="その他4">#REF!</definedName>
    <definedName name="その他合計">#REF!</definedName>
    <definedName name="ﾛ">#REF!</definedName>
    <definedName name="完工高">#REF!</definedName>
  </definedNames>
  <calcPr fullCalcOnLoad="1"/>
</workbook>
</file>

<file path=xl/sharedStrings.xml><?xml version="1.0" encoding="utf-8"?>
<sst xmlns="http://schemas.openxmlformats.org/spreadsheetml/2006/main" count="1004" uniqueCount="189">
  <si>
    <t>　　　X1＝</t>
  </si>
  <si>
    <t>　　　X2＝</t>
  </si>
  <si>
    <t>　　　Ｙ＝</t>
  </si>
  <si>
    <t>　　　Ｚ＝</t>
  </si>
  <si>
    <t>　　　Ｗ＝</t>
  </si>
  <si>
    <t>工種別年間平均完成工事高（単位；億円）</t>
  </si>
  <si>
    <t>以上</t>
  </si>
  <si>
    <t>未満</t>
  </si>
  <si>
    <t>自己資本額の評価テーブル(イ)</t>
  </si>
  <si>
    <t>技術職員数値</t>
  </si>
  <si>
    <t>X2＝</t>
  </si>
  <si>
    <t>Ｚ＝</t>
  </si>
  <si>
    <t>自己資本額（合計）</t>
  </si>
  <si>
    <t>億円</t>
  </si>
  <si>
    <t>（Ｘ２）（Ｚ）計算テーブル</t>
  </si>
  <si>
    <t>平均完成工事高</t>
  </si>
  <si>
    <r>
      <t>新　</t>
    </r>
    <r>
      <rPr>
        <sz val="14"/>
        <rFont val="ＭＳ Ｐゴシック"/>
        <family val="3"/>
      </rPr>
      <t>Ｘ１</t>
    </r>
    <r>
      <rPr>
        <sz val="14"/>
        <rFont val="Terminal"/>
        <family val="0"/>
      </rPr>
      <t>評点</t>
    </r>
  </si>
  <si>
    <t>×</t>
  </si>
  <si>
    <t>年間平均完工高</t>
  </si>
  <si>
    <t>÷</t>
  </si>
  <si>
    <t>＋</t>
  </si>
  <si>
    <t>×</t>
  </si>
  <si>
    <t>客観的評点＝</t>
  </si>
  <si>
    <t>Ｙ点</t>
  </si>
  <si>
    <t>Ｗ点</t>
  </si>
  <si>
    <t>１級</t>
  </si>
  <si>
    <t>２級</t>
  </si>
  <si>
    <t>その他</t>
  </si>
  <si>
    <t>Ｈ２１・２２年度登録時</t>
  </si>
  <si>
    <t>利益額　(X2 ﾛ)</t>
  </si>
  <si>
    <t>(講習受講)</t>
  </si>
  <si>
    <t>基幹</t>
  </si>
  <si>
    <t>自己資本額（単位；億円）</t>
  </si>
  <si>
    <r>
      <t>新　</t>
    </r>
    <r>
      <rPr>
        <sz val="14"/>
        <rFont val="ＭＳ Ｐゴシック"/>
        <family val="3"/>
      </rPr>
      <t>Ｘ２</t>
    </r>
    <r>
      <rPr>
        <sz val="14"/>
        <rFont val="Terminal"/>
        <family val="0"/>
      </rPr>
      <t>評点</t>
    </r>
  </si>
  <si>
    <t>自己資本額</t>
  </si>
  <si>
    <t>自己資本額</t>
  </si>
  <si>
    <t>利益額の評価テーブル(ロ)</t>
  </si>
  <si>
    <t>利益額（単位；億円）</t>
  </si>
  <si>
    <t>利益額</t>
  </si>
  <si>
    <t>合計</t>
  </si>
  <si>
    <r>
      <t>新　Ｚ</t>
    </r>
    <r>
      <rPr>
        <sz val="14"/>
        <rFont val="Terminal"/>
        <family val="0"/>
      </rPr>
      <t>評点</t>
    </r>
  </si>
  <si>
    <t>技術職員数値</t>
  </si>
  <si>
    <t>(Ｚ)種類別技術職員数の評価テーブル（イ）</t>
  </si>
  <si>
    <t>元請完成工事高数値</t>
  </si>
  <si>
    <t>利益額</t>
  </si>
  <si>
    <t>技術職員数値</t>
  </si>
  <si>
    <t>元請完成工事高</t>
  </si>
  <si>
    <t>年間平均元請完成工事高</t>
  </si>
  <si>
    <t>元請完成工事高(合計）</t>
  </si>
  <si>
    <t>技術職員</t>
  </si>
  <si>
    <t>客観点</t>
  </si>
  <si>
    <t>率</t>
  </si>
  <si>
    <t>工事成績平均</t>
  </si>
  <si>
    <t>平均点-65</t>
  </si>
  <si>
    <t>加算率</t>
  </si>
  <si>
    <t>技術点</t>
  </si>
  <si>
    <t>サッポロＱＭＳ</t>
  </si>
  <si>
    <t>主観的評点＝</t>
  </si>
  <si>
    <t>H23・24年度</t>
  </si>
  <si>
    <t>N列</t>
  </si>
  <si>
    <t>T列</t>
  </si>
  <si>
    <t>H23・24年度　経審改正後</t>
  </si>
  <si>
    <t>※経審は切り捨てだからINT</t>
  </si>
  <si>
    <t>（Ｘ１）完工高の評価テーブル</t>
  </si>
  <si>
    <t>(Ｚ)元請完成工事高の評価テーブル</t>
  </si>
  <si>
    <t>構成員１</t>
  </si>
  <si>
    <t>構成員２</t>
  </si>
  <si>
    <t>構成員３</t>
  </si>
  <si>
    <t>ＪＶ</t>
  </si>
  <si>
    <r>
      <t>このシートに数値を入力することにより、総合点を試算することができます。
ただし、あくまで参考ですので、</t>
    </r>
    <r>
      <rPr>
        <b/>
        <sz val="12"/>
        <color indexed="10"/>
        <rFont val="ＭＳ Ｐゴシック"/>
        <family val="3"/>
      </rPr>
      <t>等級格付（ランク）を保証するものではありません。</t>
    </r>
  </si>
  <si>
    <t>客観的評点項目</t>
  </si>
  <si>
    <t>この枠内に数値を入力してください。</t>
  </si>
  <si>
    <t>点</t>
  </si>
  <si>
    <t>工事成績評点の平均</t>
  </si>
  <si>
    <t>工事の表彰</t>
  </si>
  <si>
    <t>表彰</t>
  </si>
  <si>
    <t>従事実績</t>
  </si>
  <si>
    <t>客観的評定点　＋　主観的評定点　＝　総合点</t>
  </si>
  <si>
    <t>点</t>
  </si>
  <si>
    <t>種類別完工高　(X1)</t>
  </si>
  <si>
    <t>自己資本額　(X2 ｲ)</t>
  </si>
  <si>
    <t>計算部</t>
  </si>
  <si>
    <r>
      <rPr>
        <b/>
        <sz val="12"/>
        <rFont val="ＭＳ ゴシック"/>
        <family val="3"/>
      </rPr>
      <t>主観的評点項目</t>
    </r>
    <r>
      <rPr>
        <sz val="12"/>
        <rFont val="ＭＳ ゴシック"/>
        <family val="3"/>
      </rPr>
      <t>（評点は入力欄の右に表示されます。）</t>
    </r>
  </si>
  <si>
    <t>障がい者雇用評点</t>
  </si>
  <si>
    <t>福祉除雪への協力</t>
  </si>
  <si>
    <t>札幌市ワーク・ライフ･バランス取組企業認証</t>
  </si>
  <si>
    <r>
      <t>単体の登録時に、札幌市社会福祉協議会の実施する福祉除雪に協力しているため</t>
    </r>
    <r>
      <rPr>
        <b/>
        <u val="single"/>
        <sz val="11"/>
        <rFont val="ＭＳ Ｐゴシック"/>
        <family val="3"/>
      </rPr>
      <t>加点された構成員がいる場合</t>
    </r>
    <r>
      <rPr>
        <sz val="11"/>
        <rFont val="ＭＳ Ｐゴシック"/>
        <family val="3"/>
      </rPr>
      <t>、１を入力してください。</t>
    </r>
  </si>
  <si>
    <r>
      <t>単体の登録時に、次のいずれかに該当するため</t>
    </r>
    <r>
      <rPr>
        <b/>
        <u val="single"/>
        <sz val="11"/>
        <rFont val="ＭＳ Ｐゴシック"/>
        <family val="3"/>
      </rPr>
      <t>加点された構成員がいる場合</t>
    </r>
    <r>
      <rPr>
        <sz val="11"/>
        <rFont val="ＭＳ Ｐゴシック"/>
        <family val="3"/>
      </rPr>
      <t>、１を入力してください。</t>
    </r>
  </si>
  <si>
    <r>
      <t>単体の登録時に、サッポロＱＭＳを取得しているため</t>
    </r>
    <r>
      <rPr>
        <b/>
        <u val="single"/>
        <sz val="11"/>
        <rFont val="ＭＳ Ｐゴシック"/>
        <family val="3"/>
      </rPr>
      <t>加点された構成員がいる場合</t>
    </r>
    <r>
      <rPr>
        <sz val="11"/>
        <rFont val="ＭＳ Ｐゴシック"/>
        <family val="3"/>
      </rPr>
      <t>、１を入力してください。</t>
    </r>
  </si>
  <si>
    <t>※構成員全員の、対象となる工事成績評点をすべて合算し、その件数で割り返した値となります。（小数点以下は四捨五入）</t>
  </si>
  <si>
    <r>
      <rPr>
        <b/>
        <sz val="12"/>
        <rFont val="ＭＳ ゴシック"/>
        <family val="3"/>
      </rPr>
      <t>本店所在地</t>
    </r>
    <r>
      <rPr>
        <sz val="12"/>
        <rFont val="ＭＳ ゴシック"/>
        <family val="3"/>
      </rPr>
      <t>（客観的評点の７％）</t>
    </r>
  </si>
  <si>
    <t>※</t>
  </si>
  <si>
    <t>※各項目に該当しない場合は未入力としてください。</t>
  </si>
  <si>
    <t>（平均値）</t>
  </si>
  <si>
    <t>（合計）</t>
  </si>
  <si>
    <t>千円</t>
  </si>
  <si>
    <t>人</t>
  </si>
  <si>
    <t>種類別元請完成工事高（Z ｲ）</t>
  </si>
  <si>
    <t>※　（合計）</t>
  </si>
  <si>
    <t>※　自己資本額と利益額は、マイナスとなっている構成員は０（ゼロ）としてください。</t>
  </si>
  <si>
    <r>
      <rPr>
        <b/>
        <sz val="12"/>
        <rFont val="ＭＳ ゴシック"/>
        <family val="3"/>
      </rPr>
      <t>技術職員数値
（Ｚ点）</t>
    </r>
    <r>
      <rPr>
        <sz val="12"/>
        <rFont val="ＭＳ ゴシック"/>
        <family val="3"/>
      </rPr>
      <t xml:space="preserve">
</t>
    </r>
    <r>
      <rPr>
        <sz val="10"/>
        <rFont val="ＭＳ ゴシック"/>
        <family val="3"/>
      </rPr>
      <t xml:space="preserve">
（合計）</t>
    </r>
  </si>
  <si>
    <r>
      <rPr>
        <b/>
        <sz val="12"/>
        <rFont val="ＭＳ ゴシック"/>
        <family val="3"/>
      </rPr>
      <t>除雪の表彰及び実績</t>
    </r>
    <r>
      <rPr>
        <b/>
        <sz val="14"/>
        <rFont val="ＭＳ ゴシック"/>
        <family val="3"/>
      </rPr>
      <t>（</t>
    </r>
    <r>
      <rPr>
        <b/>
        <u val="double"/>
        <sz val="14"/>
        <rFont val="ＭＳ ゴシック"/>
        <family val="3"/>
      </rPr>
      <t>土木、下水道、舗装、造園</t>
    </r>
    <r>
      <rPr>
        <sz val="14"/>
        <rFont val="ＭＳ ゴシック"/>
        <family val="3"/>
      </rPr>
      <t>に申請する場合のみ</t>
    </r>
    <r>
      <rPr>
        <b/>
        <sz val="14"/>
        <rFont val="ＭＳ ゴシック"/>
        <family val="3"/>
      </rPr>
      <t>）</t>
    </r>
  </si>
  <si>
    <t>参考）表１　工種別等級区分表</t>
  </si>
  <si>
    <t>格付</t>
  </si>
  <si>
    <t>Ａ</t>
  </si>
  <si>
    <t>Ｂ</t>
  </si>
  <si>
    <t>Ｃ</t>
  </si>
  <si>
    <t>Ａ１</t>
  </si>
  <si>
    <t>Ａ２</t>
  </si>
  <si>
    <t>土木</t>
  </si>
  <si>
    <t>１１００以上</t>
  </si>
  <si>
    <t>１０９９～９００</t>
  </si>
  <si>
    <t>８９９～７５０</t>
  </si>
  <si>
    <t>７４９以下</t>
  </si>
  <si>
    <t>下水道</t>
  </si>
  <si>
    <t>１０００以上</t>
  </si>
  <si>
    <t>９９９～８５０</t>
  </si>
  <si>
    <t>８４９～７００</t>
  </si>
  <si>
    <t>６９９以下</t>
  </si>
  <si>
    <t>舗装</t>
  </si>
  <si>
    <t>８５０以上</t>
  </si>
  <si>
    <t>８４９以下</t>
  </si>
  <si>
    <t>造園</t>
  </si>
  <si>
    <t>８４９～７５０</t>
  </si>
  <si>
    <t>建築</t>
  </si>
  <si>
    <t>８９９～７００</t>
  </si>
  <si>
    <t>電気</t>
  </si>
  <si>
    <t>９００以上</t>
  </si>
  <si>
    <t>管</t>
  </si>
  <si>
    <t>８００以上</t>
  </si>
  <si>
    <t>７９９以下</t>
  </si>
  <si>
    <t>参考）表２　等級別標準請負金額一覧表</t>
  </si>
  <si>
    <t>工種</t>
  </si>
  <si>
    <t>土　木</t>
  </si>
  <si>
    <t>舗　装</t>
  </si>
  <si>
    <t>造　園</t>
  </si>
  <si>
    <t>建　築</t>
  </si>
  <si>
    <t>電　気</t>
  </si>
  <si>
    <t>8,000万円
以上</t>
  </si>
  <si>
    <t>2,000万円
以上</t>
  </si>
  <si>
    <t>1,500万円
以上</t>
  </si>
  <si>
    <t>8,000万円
以上</t>
  </si>
  <si>
    <t>1,200万円
以上</t>
  </si>
  <si>
    <t>7,000万円未満500万円以上</t>
  </si>
  <si>
    <t>3,000万円
未満</t>
  </si>
  <si>
    <t>2,500万円
未満</t>
  </si>
  <si>
    <t>1,000万円
未満</t>
  </si>
  <si>
    <t>7,000万円
未満</t>
  </si>
  <si>
    <t>９００以上</t>
  </si>
  <si>
    <t>Ａ</t>
  </si>
  <si>
    <t>Ａ1</t>
  </si>
  <si>
    <t>Ａ2</t>
  </si>
  <si>
    <t>25,000万円未満3,000万円以上</t>
  </si>
  <si>
    <r>
      <t>経常共同企業体の</t>
    </r>
    <r>
      <rPr>
        <b/>
        <u val="single"/>
        <sz val="12"/>
        <rFont val="ＭＳ Ｐゴシック"/>
        <family val="3"/>
      </rPr>
      <t>構成員全員分の経営事項審査結果の通知書</t>
    </r>
    <r>
      <rPr>
        <sz val="12"/>
        <rFont val="ＭＳ Ｐゴシック"/>
        <family val="3"/>
      </rPr>
      <t>を用意し、対応する項目の数値を入力してください。各項目の説明は、</t>
    </r>
    <r>
      <rPr>
        <b/>
        <sz val="12"/>
        <rFont val="ＭＳ Ｐゴシック"/>
        <family val="3"/>
      </rPr>
      <t>申請の手引きを参照してください。</t>
    </r>
  </si>
  <si>
    <t>※　このシート以外のデータ部（data1～5)を書き換えないように注意してください。</t>
  </si>
  <si>
    <t>＜経常共同企業体＞</t>
  </si>
  <si>
    <t>災害防止協力会活動等</t>
  </si>
  <si>
    <t>刑務所出所者等協力雇用主</t>
  </si>
  <si>
    <t>・保護観察対象者等を雇用した実績
・保護観察対象者等を対象とした職場体験講習を実施した実績
・保護観察対象者等を対象とした事業所見学会を実施した実績</t>
  </si>
  <si>
    <r>
      <t>以下のいずれかに該当するため</t>
    </r>
    <r>
      <rPr>
        <b/>
        <u val="single"/>
        <sz val="11"/>
        <rFont val="ＭＳ Ｐゴシック"/>
        <family val="3"/>
      </rPr>
      <t>加点された構成員がいる場合</t>
    </r>
    <r>
      <rPr>
        <sz val="11"/>
        <rFont val="ＭＳ Ｐゴシック"/>
        <family val="3"/>
      </rPr>
      <t>、１を入力してください。</t>
    </r>
  </si>
  <si>
    <t>1,600万円
以上</t>
  </si>
  <si>
    <t>1,500万円
未満</t>
  </si>
  <si>
    <t>　各項目の評点及び算出方法については、札幌市競争入札参加資格審査等取扱要領運用指針（第12第６項）を参照してください。</t>
  </si>
  <si>
    <r>
      <rPr>
        <sz val="12"/>
        <rFont val="ＭＳ Ｐゴシック"/>
        <family val="3"/>
      </rPr>
      <t>　下表１「工種別等級区分表」に照らし合わせて、格付けを確認してください。
　ただし、次の場合、調整点により加減される場合があります。</t>
    </r>
    <r>
      <rPr>
        <sz val="10"/>
        <rFont val="ＭＳ Ｐゴシック"/>
        <family val="3"/>
      </rPr>
      <t xml:space="preserve">
①企業体の点数が、構成員単体の最高位の等級よりも下位となる等級に該当する場合は、構成員の最高位の等級になるまで加点します。
　　　（例：土木工種において、単体でＢランクとＣランクの事業者が組んだ
　　　　　　　→730点（Ｃ）の点数になった場合、750点（Ｂ）になるよう加点します。）
②企業体の点数が、構成員単体の最高位の等級よりも２等級上位となる等級に該当する場合は、構成員の最高位の等級の１等級上位になるまで減点します。
　　　（例：土木工種において、単体でＢランクとＣランクの事業者が組んだ
　　　　　　　→1200点（Ａ１）の点数になった場合、1099点（Ａ２）になるよう減点します。）
③　</t>
    </r>
    <r>
      <rPr>
        <b/>
        <sz val="10"/>
        <rFont val="ＭＳ Ｐゴシック"/>
        <family val="3"/>
      </rPr>
      <t>Ａ１、Ａ２又はＡの点数に該当する方のうち、新規で登録する企業体又は昇格する企業体は、構成員のいずれかが</t>
    </r>
    <r>
      <rPr>
        <b/>
        <sz val="10"/>
        <color indexed="10"/>
        <rFont val="ＭＳ Ｐゴシック"/>
        <family val="3"/>
      </rPr>
      <t>過去５年間に
しゅん功した元請工事の１件最高金額が、下表２における当該等級の下限金額に満たない場合は一つ下位の等級になるまで減点</t>
    </r>
    <r>
      <rPr>
        <b/>
        <sz val="10"/>
        <rFont val="ＭＳ Ｐゴシック"/>
        <family val="3"/>
      </rPr>
      <t xml:space="preserve">します。
</t>
    </r>
    <r>
      <rPr>
        <sz val="10"/>
        <rFont val="ＭＳ Ｐゴシック"/>
        <family val="3"/>
      </rPr>
      <t>　（ただし、①による場合は減点しません。）</t>
    </r>
  </si>
  <si>
    <t>道路維持除雪業務</t>
  </si>
  <si>
    <t>民活型雪堆積場管理業務</t>
  </si>
  <si>
    <t>道路維持除雪業務</t>
  </si>
  <si>
    <t>※いずれも、民活型雪堆積場管理業務は、同年の道路維持除雪業務がある場合は加点されません。</t>
  </si>
  <si>
    <t>3,000万円未満
500万円以上</t>
  </si>
  <si>
    <t>15,000万円未満
1,000万円以上</t>
  </si>
  <si>
    <t>4,000万円
未満</t>
  </si>
  <si>
    <t>5,000万円未満
500万円以上</t>
  </si>
  <si>
    <t>・札幌市の各区災害防止協力会に加入している場合
・札幌市との間で災害時応急活動に従事する協定を締結している場合
・上記協定を締結している団体に所属し、災害時応急活動等に対し一定の役割を果たす場合</t>
  </si>
  <si>
    <t>札幌市建設局造園工事優秀施工業者表彰、札幌市建設局土木部所管工事優秀施工業者表彰、札幌市下水道河川局工事安全管理優秀業者表彰、札幌市都市局優良工事施工業者表彰、札幌市交通局優秀工事施工業者表彰、本市の優良指定給水装置工事事業者表彰、札幌市水道局優秀工事施工業者表彰</t>
  </si>
  <si>
    <t>単体の登録時に、札幌市ワーク・ライフ・バランスｐｌｕｓ企業認証のうち、ステップ３先進取組企業認証を受けている（常時雇用する労働者が100人以下の場合はステップ２行動計画策定企業認証も可）ため、加点された構成員がいる場合、１を入力してください。</t>
  </si>
  <si>
    <t>令和５・６年度札幌市競争入札参加資格登録 格付試算シート</t>
  </si>
  <si>
    <r>
      <t>平成29～令和３年度にしゅん功した本市工事のうち申請する工種にかかる工事成績評点について、</t>
    </r>
    <r>
      <rPr>
        <b/>
        <u val="single"/>
        <sz val="11"/>
        <rFont val="ＭＳ Ｐゴシック"/>
        <family val="3"/>
      </rPr>
      <t>構成員全員の平均値</t>
    </r>
    <r>
      <rPr>
        <sz val="11"/>
        <rFont val="ＭＳ Ｐゴシック"/>
        <family val="3"/>
      </rPr>
      <t>を入力してください。</t>
    </r>
  </si>
  <si>
    <t>申請する工種に係る本市工事について、以下の表彰を令和２、３年度中に受賞した実績がある場合、受賞回数を入力してください。</t>
  </si>
  <si>
    <r>
      <rPr>
        <b/>
        <u val="single"/>
        <sz val="11"/>
        <rFont val="ＭＳ Ｐゴシック"/>
        <family val="3"/>
      </rPr>
      <t>※令和元、２度の工事に対する表彰となります。
※各構成員の受賞回数の合計</t>
    </r>
    <r>
      <rPr>
        <sz val="11"/>
        <rFont val="ＭＳ Ｐゴシック"/>
        <family val="3"/>
      </rPr>
      <t>ですが、同一の年度・表彰の場合は１回として計算してください。</t>
    </r>
  </si>
  <si>
    <r>
      <rPr>
        <b/>
        <u val="single"/>
        <sz val="11"/>
        <rFont val="ＭＳ Ｐゴシック"/>
        <family val="3"/>
      </rPr>
      <t>いずれかの構成員が</t>
    </r>
    <r>
      <rPr>
        <sz val="11"/>
        <rFont val="ＭＳ Ｐゴシック"/>
        <family val="3"/>
      </rPr>
      <t>、札幌市除雪業務委託等優秀受託者表彰を、令和２、３年度中に受賞した実績がある場合、年度及び業務ごとに１を入力してください。
　※令和元、２年度に実施した業務に対する表彰となります。</t>
    </r>
  </si>
  <si>
    <t>Ｒ２年度
（Ｒ１に対する表彰）</t>
  </si>
  <si>
    <t>Ｒ３年度
（Ｒ２に対する表彰）</t>
  </si>
  <si>
    <r>
      <rPr>
        <b/>
        <u val="single"/>
        <sz val="11"/>
        <rFont val="ＭＳ Ｐゴシック"/>
        <family val="3"/>
      </rPr>
      <t>いずれかの構成員が</t>
    </r>
    <r>
      <rPr>
        <sz val="11"/>
        <rFont val="ＭＳ Ｐゴシック"/>
        <family val="3"/>
      </rPr>
      <t>、令和２、３年度中に札幌市の除雪業務に従事した場合、年度及び業務ごとに１を入力してください。</t>
    </r>
  </si>
  <si>
    <t>Ｒ２年度</t>
  </si>
  <si>
    <t>Ｒ３年度</t>
  </si>
  <si>
    <t>(1)　障害者雇用状況の報告義務がある者で、政令に定める障害者雇用率　（令和５・６年度名簿は2.3%）を達成している者
(2)　障害者雇用状況の報告義務がない者で、１人以上の障がい者を雇用している者</t>
  </si>
  <si>
    <t>札幌保護観察所に協力雇用主として登録され、令和２年12月１日以降に以下のいずれかの実績があるため加点された構成員がいる場合、１を入力してください。</t>
  </si>
  <si>
    <t>監理補佐</t>
  </si>
  <si>
    <t>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</si>
</sst>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s>
  <fonts count="101">
    <font>
      <sz val="14"/>
      <name val="Terminal"/>
      <family val="0"/>
    </font>
    <font>
      <b/>
      <sz val="11"/>
      <name val="ＭＳ 明朝"/>
      <family val="1"/>
    </font>
    <font>
      <i/>
      <sz val="11"/>
      <name val="ＭＳ 明朝"/>
      <family val="1"/>
    </font>
    <font>
      <b/>
      <i/>
      <sz val="11"/>
      <name val="ＭＳ 明朝"/>
      <family val="1"/>
    </font>
    <font>
      <sz val="11"/>
      <name val="ＭＳ 明朝"/>
      <family val="1"/>
    </font>
    <font>
      <sz val="14"/>
      <color indexed="10"/>
      <name val="Terminal"/>
      <family val="0"/>
    </font>
    <font>
      <sz val="7"/>
      <name val="ＭＳ Ｐゴシック"/>
      <family val="3"/>
    </font>
    <font>
      <sz val="14"/>
      <name val="ＭＳ 明朝"/>
      <family val="1"/>
    </font>
    <font>
      <sz val="14"/>
      <name val="ＭＳ Ｐゴシック"/>
      <family val="3"/>
    </font>
    <font>
      <b/>
      <sz val="18"/>
      <name val="ＭＳ Ｐゴシック"/>
      <family val="3"/>
    </font>
    <font>
      <sz val="12"/>
      <name val="ＭＳ Ｐゴシック"/>
      <family val="3"/>
    </font>
    <font>
      <sz val="11"/>
      <name val="Terminal"/>
      <family val="0"/>
    </font>
    <font>
      <sz val="11"/>
      <name val="ＭＳ Ｐゴシック"/>
      <family val="3"/>
    </font>
    <font>
      <sz val="12"/>
      <color indexed="14"/>
      <name val="ＭＳ Ｐゴシック"/>
      <family val="3"/>
    </font>
    <font>
      <sz val="12"/>
      <name val="Terminal"/>
      <family val="0"/>
    </font>
    <font>
      <u val="single"/>
      <sz val="11"/>
      <color indexed="12"/>
      <name val="ＭＳ Ｐゴシック"/>
      <family val="3"/>
    </font>
    <font>
      <u val="single"/>
      <sz val="11"/>
      <color indexed="36"/>
      <name val="ＭＳ Ｐゴシック"/>
      <family val="3"/>
    </font>
    <font>
      <sz val="6"/>
      <name val="ＭＳ Ｐゴシック"/>
      <family val="3"/>
    </font>
    <font>
      <sz val="7"/>
      <name val="Terminal"/>
      <family val="0"/>
    </font>
    <font>
      <sz val="11"/>
      <color indexed="10"/>
      <name val="Terminal"/>
      <family val="0"/>
    </font>
    <font>
      <b/>
      <sz val="14"/>
      <name val="ＭＳ ゴシック"/>
      <family val="3"/>
    </font>
    <font>
      <b/>
      <sz val="12"/>
      <color indexed="10"/>
      <name val="ＭＳ Ｐゴシック"/>
      <family val="3"/>
    </font>
    <font>
      <b/>
      <sz val="12"/>
      <name val="ＭＳ Ｐゴシック"/>
      <family val="3"/>
    </font>
    <font>
      <sz val="10"/>
      <name val="ＭＳ Ｐゴシック"/>
      <family val="3"/>
    </font>
    <font>
      <sz val="9"/>
      <name val="ＭＳ Ｐゴシック"/>
      <family val="3"/>
    </font>
    <font>
      <sz val="14"/>
      <name val="ＭＳ ゴシック"/>
      <family val="3"/>
    </font>
    <font>
      <sz val="12"/>
      <name val="ＭＳ ゴシック"/>
      <family val="3"/>
    </font>
    <font>
      <b/>
      <sz val="12"/>
      <name val="ＭＳ ゴシック"/>
      <family val="3"/>
    </font>
    <font>
      <sz val="14"/>
      <color indexed="14"/>
      <name val="ＭＳ ゴシック"/>
      <family val="3"/>
    </font>
    <font>
      <sz val="14"/>
      <color indexed="56"/>
      <name val="ＭＳ ゴシック"/>
      <family val="3"/>
    </font>
    <font>
      <sz val="11"/>
      <name val="ＭＳ ゴシック"/>
      <family val="3"/>
    </font>
    <font>
      <sz val="14"/>
      <color indexed="8"/>
      <name val="ＭＳ ゴシック"/>
      <family val="3"/>
    </font>
    <font>
      <sz val="14"/>
      <color indexed="12"/>
      <name val="ＭＳ ゴシック"/>
      <family val="3"/>
    </font>
    <font>
      <sz val="14"/>
      <color indexed="50"/>
      <name val="ＭＳ ゴシック"/>
      <family val="3"/>
    </font>
    <font>
      <sz val="10"/>
      <name val="ＭＳ ゴシック"/>
      <family val="3"/>
    </font>
    <font>
      <b/>
      <sz val="11"/>
      <name val="ＭＳ ゴシック"/>
      <family val="3"/>
    </font>
    <font>
      <sz val="9"/>
      <name val="ＭＳ ゴシック"/>
      <family val="3"/>
    </font>
    <font>
      <sz val="9"/>
      <name val="ＭＳ Ｐ明朝"/>
      <family val="1"/>
    </font>
    <font>
      <b/>
      <u val="single"/>
      <sz val="11"/>
      <name val="ＭＳ Ｐゴシック"/>
      <family val="3"/>
    </font>
    <font>
      <b/>
      <u val="double"/>
      <sz val="14"/>
      <name val="ＭＳ ゴシック"/>
      <family val="3"/>
    </font>
    <font>
      <sz val="6"/>
      <name val="ＭＳ Ｐ明朝"/>
      <family val="1"/>
    </font>
    <font>
      <sz val="8"/>
      <name val="ＭＳ Ｐ明朝"/>
      <family val="1"/>
    </font>
    <font>
      <b/>
      <u val="single"/>
      <sz val="12"/>
      <name val="ＭＳ Ｐゴシック"/>
      <family val="3"/>
    </font>
    <font>
      <b/>
      <sz val="10"/>
      <name val="ＭＳ Ｐゴシック"/>
      <family val="3"/>
    </font>
    <font>
      <b/>
      <sz val="10"/>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2"/>
      <color indexed="23"/>
      <name val="ＭＳ ゴシック"/>
      <family val="3"/>
    </font>
    <font>
      <sz val="11"/>
      <color indexed="23"/>
      <name val="ＭＳ ゴシック"/>
      <family val="3"/>
    </font>
    <font>
      <sz val="14"/>
      <color indexed="10"/>
      <name val="ＭＳ ゴシック"/>
      <family val="3"/>
    </font>
    <font>
      <sz val="12"/>
      <color indexed="10"/>
      <name val="ＭＳ ゴシック"/>
      <family val="3"/>
    </font>
    <font>
      <b/>
      <sz val="14"/>
      <color indexed="10"/>
      <name val="ＭＳ ゴシック"/>
      <family val="3"/>
    </font>
    <font>
      <b/>
      <sz val="9"/>
      <color indexed="10"/>
      <name val="ＭＳ Ｐ明朝"/>
      <family val="1"/>
    </font>
    <font>
      <b/>
      <sz val="8"/>
      <color indexed="10"/>
      <name val="ＭＳ Ｐ明朝"/>
      <family val="1"/>
    </font>
    <font>
      <b/>
      <sz val="12"/>
      <color indexed="9"/>
      <name val="ＭＳ ゴシック"/>
      <family val="3"/>
    </font>
    <font>
      <b/>
      <sz val="16"/>
      <color indexed="9"/>
      <name val="ＭＳ ゴシック"/>
      <family val="3"/>
    </font>
    <font>
      <sz val="12"/>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2"/>
      <color theme="0" tint="-0.4999699890613556"/>
      <name val="ＭＳ ゴシック"/>
      <family val="3"/>
    </font>
    <font>
      <sz val="11"/>
      <color theme="0" tint="-0.4999699890613556"/>
      <name val="ＭＳ ゴシック"/>
      <family val="3"/>
    </font>
    <font>
      <sz val="14"/>
      <color rgb="FFFF0000"/>
      <name val="ＭＳ ゴシック"/>
      <family val="3"/>
    </font>
    <font>
      <b/>
      <sz val="12"/>
      <color rgb="FFFF0000"/>
      <name val="ＭＳ Ｐゴシック"/>
      <family val="3"/>
    </font>
    <font>
      <sz val="12"/>
      <color rgb="FFFF0000"/>
      <name val="ＭＳ ゴシック"/>
      <family val="3"/>
    </font>
    <font>
      <b/>
      <sz val="14"/>
      <color rgb="FFFF0000"/>
      <name val="ＭＳ ゴシック"/>
      <family val="3"/>
    </font>
    <font>
      <b/>
      <sz val="12"/>
      <color theme="0"/>
      <name val="ＭＳ ゴシック"/>
      <family val="3"/>
    </font>
    <font>
      <b/>
      <sz val="16"/>
      <color theme="0"/>
      <name val="ＭＳ ゴシック"/>
      <family val="3"/>
    </font>
    <font>
      <sz val="12"/>
      <color theme="0"/>
      <name val="ＭＳ ゴシック"/>
      <family val="3"/>
    </font>
    <font>
      <b/>
      <sz val="9"/>
      <color rgb="FFFF0000"/>
      <name val="ＭＳ Ｐ明朝"/>
      <family val="1"/>
    </font>
    <font>
      <b/>
      <sz val="8"/>
      <color rgb="FFFF0000"/>
      <name val="ＭＳ Ｐ明朝"/>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99FF"/>
        <bgColor indexed="64"/>
      </patternFill>
    </fill>
    <fill>
      <patternFill patternType="solid">
        <fgColor rgb="FFFFCCFF"/>
        <bgColor indexed="64"/>
      </patternFill>
    </fill>
    <fill>
      <patternFill patternType="solid">
        <fgColor rgb="FFCCCCFF"/>
        <bgColor indexed="64"/>
      </patternFill>
    </fill>
    <fill>
      <patternFill patternType="solid">
        <fgColor indexed="26"/>
        <bgColor indexed="64"/>
      </patternFill>
    </fill>
    <fill>
      <patternFill patternType="solid">
        <fgColor rgb="FFCCFFCC"/>
        <bgColor indexed="64"/>
      </patternFill>
    </fill>
    <fill>
      <patternFill patternType="solid">
        <fgColor rgb="FFCCFFFF"/>
        <bgColor indexed="64"/>
      </patternFill>
    </fill>
    <fill>
      <patternFill patternType="solid">
        <fgColor rgb="FFFF0000"/>
        <bgColor indexed="64"/>
      </patternFill>
    </fill>
    <fill>
      <patternFill patternType="solid">
        <fgColor indexed="31"/>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22"/>
      </left>
      <right style="hair">
        <color indexed="22"/>
      </right>
      <top style="hair">
        <color indexed="22"/>
      </top>
      <bottom style="hair">
        <color indexed="22"/>
      </bottom>
    </border>
    <border>
      <left style="hair">
        <color indexed="22"/>
      </left>
      <right style="hair">
        <color indexed="22"/>
      </right>
      <top style="hair">
        <color indexed="22"/>
      </top>
      <bottom>
        <color indexed="63"/>
      </bottom>
    </border>
    <border>
      <left style="thin"/>
      <right style="hair">
        <color indexed="22"/>
      </right>
      <top style="thin"/>
      <bottom style="hair">
        <color indexed="22"/>
      </bottom>
    </border>
    <border>
      <left style="hair">
        <color indexed="22"/>
      </left>
      <right style="hair">
        <color indexed="22"/>
      </right>
      <top style="thin"/>
      <bottom style="hair">
        <color indexed="22"/>
      </bottom>
    </border>
    <border>
      <left style="hair">
        <color indexed="22"/>
      </left>
      <right style="thin"/>
      <top style="thin"/>
      <bottom style="hair">
        <color indexed="22"/>
      </bottom>
    </border>
    <border>
      <left>
        <color indexed="63"/>
      </left>
      <right style="hair">
        <color indexed="22"/>
      </right>
      <top style="hair">
        <color indexed="22"/>
      </top>
      <bottom style="hair">
        <color indexed="22"/>
      </bottom>
    </border>
    <border>
      <left style="thin"/>
      <right style="hair">
        <color indexed="22"/>
      </right>
      <top style="hair">
        <color indexed="22"/>
      </top>
      <bottom style="hair">
        <color indexed="22"/>
      </bottom>
    </border>
    <border>
      <left style="hair">
        <color indexed="22"/>
      </left>
      <right style="thin"/>
      <top style="hair">
        <color indexed="22"/>
      </top>
      <bottom style="hair">
        <color indexed="22"/>
      </bottom>
    </border>
    <border>
      <left style="hair">
        <color indexed="22"/>
      </left>
      <right style="hair">
        <color indexed="22"/>
      </right>
      <top style="hair">
        <color indexed="22"/>
      </top>
      <bottom style="thin"/>
    </border>
    <border>
      <left style="hair">
        <color indexed="22"/>
      </left>
      <right style="thin"/>
      <top style="hair">
        <color indexed="22"/>
      </top>
      <bottom style="thin"/>
    </border>
    <border>
      <left style="hair">
        <color indexed="22"/>
      </left>
      <right style="hair">
        <color indexed="22"/>
      </right>
      <top>
        <color indexed="63"/>
      </top>
      <bottom style="hair">
        <color indexed="22"/>
      </bottom>
    </border>
    <border>
      <left style="thin"/>
      <right>
        <color indexed="63"/>
      </right>
      <top style="thin"/>
      <bottom style="medium"/>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hair">
        <color indexed="22"/>
      </right>
      <top style="hair">
        <color indexed="22"/>
      </top>
      <bottom style="thin"/>
    </border>
    <border>
      <left style="thin"/>
      <right style="thin"/>
      <top style="thin"/>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medium"/>
      <right style="medium"/>
      <top style="medium"/>
      <bottom style="medium"/>
    </border>
    <border>
      <left>
        <color indexed="63"/>
      </left>
      <right style="medium"/>
      <top style="hair"/>
      <bottom style="hair"/>
    </border>
    <border>
      <left>
        <color indexed="63"/>
      </left>
      <right>
        <color indexed="63"/>
      </right>
      <top>
        <color indexed="63"/>
      </top>
      <bottom style="mediu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medium"/>
      <top style="medium"/>
      <bottom style="medium"/>
    </border>
    <border>
      <left style="thin">
        <color indexed="8"/>
      </left>
      <right style="thin">
        <color indexed="8"/>
      </right>
      <top style="thin">
        <color indexed="8"/>
      </top>
      <bottom style="thin">
        <color indexed="8"/>
      </bottom>
    </border>
    <border>
      <left style="hair"/>
      <right style="hair"/>
      <top style="hair"/>
      <bottom style="hair"/>
    </border>
    <border>
      <left style="hair"/>
      <right style="medium"/>
      <top style="hair"/>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hair"/>
      <bottom style="hair"/>
    </border>
    <border>
      <left style="thin"/>
      <right>
        <color indexed="63"/>
      </right>
      <top style="hair"/>
      <bottom style="hair"/>
    </border>
    <border>
      <left style="hair"/>
      <right style="thin"/>
      <top style="hair"/>
      <bottom style="hair"/>
    </border>
    <border>
      <left style="thin"/>
      <right style="medium"/>
      <top style="hair"/>
      <bottom style="hair"/>
    </border>
    <border>
      <left>
        <color indexed="63"/>
      </left>
      <right style="thin"/>
      <top>
        <color indexed="63"/>
      </top>
      <bottom>
        <color indexed="63"/>
      </bottom>
    </border>
    <border>
      <left style="thin"/>
      <right style="thin"/>
      <top>
        <color indexed="63"/>
      </top>
      <bottom>
        <color indexed="63"/>
      </bottom>
    </border>
    <border>
      <left style="thin"/>
      <right style="thin"/>
      <top style="hair"/>
      <bottom style="hair"/>
    </border>
    <border>
      <left>
        <color indexed="63"/>
      </left>
      <right style="hair"/>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diagonalUp="1">
      <left style="thin"/>
      <right style="thin"/>
      <top style="thin"/>
      <bottom style="thin"/>
      <diagonal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hair"/>
      <right>
        <color indexed="63"/>
      </right>
      <top style="hair"/>
      <bottom style="hair"/>
    </border>
    <border diagonalUp="1">
      <left style="thin">
        <color indexed="8"/>
      </left>
      <right style="thin">
        <color indexed="8"/>
      </right>
      <top style="thin">
        <color indexed="8"/>
      </top>
      <bottom style="thin">
        <color indexed="8"/>
      </bottom>
      <diagonal style="thin">
        <color indexed="8"/>
      </diagonal>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4"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2"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7" fillId="31" borderId="4" applyNumberFormat="0" applyAlignment="0" applyProtection="0"/>
    <xf numFmtId="0" fontId="12" fillId="0" borderId="0">
      <alignment/>
      <protection/>
    </xf>
    <xf numFmtId="0" fontId="12" fillId="0" borderId="0">
      <alignment/>
      <protection/>
    </xf>
    <xf numFmtId="0" fontId="7" fillId="0" borderId="10">
      <alignment/>
      <protection/>
    </xf>
    <xf numFmtId="0" fontId="16" fillId="0" borderId="0" applyNumberFormat="0" applyFill="0" applyBorder="0" applyAlignment="0" applyProtection="0"/>
    <xf numFmtId="0" fontId="88" fillId="32" borderId="0" applyNumberFormat="0" applyBorder="0" applyAlignment="0" applyProtection="0"/>
  </cellStyleXfs>
  <cellXfs count="246">
    <xf numFmtId="0" fontId="0" fillId="0" borderId="0" xfId="0" applyAlignment="1">
      <alignment/>
    </xf>
    <xf numFmtId="0" fontId="7" fillId="0" borderId="10" xfId="64" applyProtection="1">
      <alignment/>
      <protection/>
    </xf>
    <xf numFmtId="0" fontId="7" fillId="0" borderId="10" xfId="64">
      <alignment/>
      <protection/>
    </xf>
    <xf numFmtId="0" fontId="0" fillId="0" borderId="11" xfId="64" applyFont="1" applyFill="1" applyBorder="1" applyProtection="1">
      <alignment/>
      <protection/>
    </xf>
    <xf numFmtId="37" fontId="0" fillId="0" borderId="11" xfId="64" applyNumberFormat="1" applyFont="1" applyBorder="1" applyProtection="1">
      <alignment/>
      <protection/>
    </xf>
    <xf numFmtId="0" fontId="0" fillId="0" borderId="11" xfId="64" applyFont="1" applyBorder="1" applyProtection="1">
      <alignment/>
      <protection/>
    </xf>
    <xf numFmtId="0" fontId="0" fillId="0" borderId="10" xfId="64" applyFont="1">
      <alignment/>
      <protection/>
    </xf>
    <xf numFmtId="0" fontId="0" fillId="0" borderId="12" xfId="64" applyFont="1" applyBorder="1" applyProtection="1">
      <alignment/>
      <protection/>
    </xf>
    <xf numFmtId="0" fontId="0" fillId="0" borderId="13" xfId="64" applyFont="1" applyBorder="1" applyProtection="1">
      <alignment/>
      <protection/>
    </xf>
    <xf numFmtId="0" fontId="0" fillId="0" borderId="14" xfId="64" applyFont="1" applyBorder="1" applyProtection="1">
      <alignment/>
      <protection/>
    </xf>
    <xf numFmtId="0" fontId="0" fillId="0" borderId="15" xfId="64" applyFont="1" applyBorder="1">
      <alignment/>
      <protection/>
    </xf>
    <xf numFmtId="0" fontId="0" fillId="0" borderId="16" xfId="64" applyFont="1" applyBorder="1" applyProtection="1">
      <alignment/>
      <protection/>
    </xf>
    <xf numFmtId="0" fontId="0" fillId="0" borderId="10" xfId="64" applyFont="1" applyBorder="1" applyProtection="1">
      <alignment/>
      <protection/>
    </xf>
    <xf numFmtId="0" fontId="0" fillId="0" borderId="17" xfId="64" applyFont="1" applyBorder="1">
      <alignment/>
      <protection/>
    </xf>
    <xf numFmtId="0" fontId="0" fillId="0" borderId="16" xfId="64" applyFont="1" applyBorder="1">
      <alignment/>
      <protection/>
    </xf>
    <xf numFmtId="0" fontId="0" fillId="0" borderId="10" xfId="64" applyFont="1" applyBorder="1">
      <alignment/>
      <protection/>
    </xf>
    <xf numFmtId="0" fontId="0" fillId="0" borderId="15" xfId="64" applyFont="1" applyBorder="1" applyProtection="1">
      <alignment/>
      <protection/>
    </xf>
    <xf numFmtId="0" fontId="0" fillId="0" borderId="17" xfId="64" applyFont="1" applyBorder="1" applyProtection="1">
      <alignment/>
      <protection/>
    </xf>
    <xf numFmtId="0" fontId="0" fillId="0" borderId="16" xfId="64" applyFont="1" applyBorder="1" applyAlignment="1" applyProtection="1">
      <alignment horizontal="center"/>
      <protection/>
    </xf>
    <xf numFmtId="0" fontId="0" fillId="0" borderId="18" xfId="64" applyFont="1" applyBorder="1" applyProtection="1">
      <alignment/>
      <protection/>
    </xf>
    <xf numFmtId="0" fontId="0" fillId="0" borderId="19" xfId="64" applyFont="1" applyBorder="1" applyProtection="1">
      <alignment/>
      <protection/>
    </xf>
    <xf numFmtId="0" fontId="0" fillId="0" borderId="20" xfId="64" applyFont="1" applyBorder="1" applyProtection="1">
      <alignment/>
      <protection/>
    </xf>
    <xf numFmtId="0" fontId="8" fillId="0" borderId="0" xfId="0" applyFont="1" applyAlignment="1">
      <alignment/>
    </xf>
    <xf numFmtId="176" fontId="8" fillId="0" borderId="0" xfId="0" applyNumberFormat="1" applyFont="1" applyAlignment="1">
      <alignment/>
    </xf>
    <xf numFmtId="0" fontId="0" fillId="0" borderId="0" xfId="0" applyAlignment="1" applyProtection="1">
      <alignment horizontal="left" vertical="center"/>
      <protection/>
    </xf>
    <xf numFmtId="0" fontId="0" fillId="0" borderId="0" xfId="0" applyAlignment="1">
      <alignment vertical="center"/>
    </xf>
    <xf numFmtId="0" fontId="0" fillId="0" borderId="0" xfId="0" applyAlignment="1">
      <alignment horizontal="center" vertical="center"/>
    </xf>
    <xf numFmtId="0" fontId="0" fillId="0" borderId="21" xfId="0" applyBorder="1" applyAlignment="1" applyProtection="1">
      <alignment horizontal="center"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lignment horizontal="center" vertical="center"/>
    </xf>
    <xf numFmtId="0" fontId="0" fillId="0" borderId="25" xfId="0" applyBorder="1" applyAlignment="1">
      <alignment horizontal="center" vertical="center" shrinkToFit="1"/>
    </xf>
    <xf numFmtId="38" fontId="11" fillId="0" borderId="25" xfId="49" applyFont="1" applyBorder="1" applyAlignment="1">
      <alignment vertical="center"/>
    </xf>
    <xf numFmtId="38" fontId="11" fillId="0" borderId="26" xfId="49" applyFont="1" applyBorder="1" applyAlignment="1">
      <alignment vertical="center"/>
    </xf>
    <xf numFmtId="0" fontId="7" fillId="33" borderId="10" xfId="64" applyFill="1">
      <alignment/>
      <protection/>
    </xf>
    <xf numFmtId="0" fontId="14" fillId="0" borderId="25" xfId="0" applyFont="1" applyBorder="1" applyAlignment="1">
      <alignment horizontal="center" vertical="center" shrinkToFit="1"/>
    </xf>
    <xf numFmtId="0" fontId="7" fillId="0" borderId="10" xfId="64" applyFont="1" applyProtection="1">
      <alignment/>
      <protection/>
    </xf>
    <xf numFmtId="0" fontId="7" fillId="0" borderId="10" xfId="64" applyFont="1">
      <alignment/>
      <protection/>
    </xf>
    <xf numFmtId="0" fontId="0" fillId="0" borderId="27" xfId="64" applyFont="1" applyBorder="1" applyAlignment="1" applyProtection="1">
      <alignment horizontal="center"/>
      <protection/>
    </xf>
    <xf numFmtId="0" fontId="12" fillId="0" borderId="28" xfId="63" applyBorder="1">
      <alignment/>
      <protection/>
    </xf>
    <xf numFmtId="0" fontId="12" fillId="0" borderId="0" xfId="63">
      <alignment/>
      <protection/>
    </xf>
    <xf numFmtId="0" fontId="12" fillId="0" borderId="28" xfId="63" applyBorder="1" applyAlignment="1">
      <alignment horizontal="center"/>
      <protection/>
    </xf>
    <xf numFmtId="179" fontId="12" fillId="0" borderId="28" xfId="63" applyNumberFormat="1" applyBorder="1">
      <alignment/>
      <protection/>
    </xf>
    <xf numFmtId="0" fontId="8" fillId="0" borderId="0" xfId="0" applyFont="1" applyAlignment="1">
      <alignment vertical="center" shrinkToFit="1"/>
    </xf>
    <xf numFmtId="0" fontId="12" fillId="0" borderId="0" xfId="62" applyAlignment="1" applyProtection="1">
      <alignment horizontal="left" vertical="center"/>
      <protection/>
    </xf>
    <xf numFmtId="0" fontId="12" fillId="0" borderId="0" xfId="62" applyAlignment="1">
      <alignment vertical="center"/>
      <protection/>
    </xf>
    <xf numFmtId="0" fontId="12" fillId="0" borderId="0" xfId="62" applyAlignment="1">
      <alignment horizontal="center" vertical="center"/>
      <protection/>
    </xf>
    <xf numFmtId="0" fontId="12" fillId="0" borderId="0" xfId="62">
      <alignment/>
      <protection/>
    </xf>
    <xf numFmtId="0" fontId="12" fillId="0" borderId="29" xfId="62" applyBorder="1" applyAlignment="1">
      <alignment horizontal="center" vertical="center"/>
      <protection/>
    </xf>
    <xf numFmtId="0" fontId="12" fillId="0" borderId="21" xfId="62" applyBorder="1" applyAlignment="1" applyProtection="1">
      <alignment horizontal="center" vertical="center"/>
      <protection/>
    </xf>
    <xf numFmtId="0" fontId="12" fillId="0" borderId="22" xfId="62" applyBorder="1" applyAlignment="1" applyProtection="1">
      <alignment vertical="center"/>
      <protection/>
    </xf>
    <xf numFmtId="0" fontId="12" fillId="0" borderId="30" xfId="62" applyBorder="1" applyAlignment="1" applyProtection="1">
      <alignment vertical="center"/>
      <protection/>
    </xf>
    <xf numFmtId="0" fontId="12" fillId="0" borderId="31" xfId="62" applyBorder="1" applyAlignment="1">
      <alignment horizontal="center" vertical="center" shrinkToFit="1"/>
      <protection/>
    </xf>
    <xf numFmtId="38" fontId="11" fillId="0" borderId="31" xfId="51" applyFont="1" applyBorder="1" applyAlignment="1">
      <alignment vertical="center"/>
    </xf>
    <xf numFmtId="38" fontId="11" fillId="0" borderId="32" xfId="51" applyFont="1" applyBorder="1" applyAlignment="1">
      <alignment vertical="center"/>
    </xf>
    <xf numFmtId="0" fontId="12" fillId="0" borderId="23" xfId="62" applyBorder="1" applyAlignment="1" applyProtection="1">
      <alignment vertical="center"/>
      <protection/>
    </xf>
    <xf numFmtId="0" fontId="12" fillId="0" borderId="24" xfId="62" applyBorder="1" applyAlignment="1" applyProtection="1">
      <alignment vertical="center"/>
      <protection/>
    </xf>
    <xf numFmtId="0" fontId="12" fillId="0" borderId="25" xfId="62" applyBorder="1" applyAlignment="1">
      <alignment horizontal="center" vertical="center"/>
      <protection/>
    </xf>
    <xf numFmtId="0" fontId="12" fillId="0" borderId="25" xfId="62" applyBorder="1" applyAlignment="1">
      <alignment horizontal="center" vertical="center" shrinkToFit="1"/>
      <protection/>
    </xf>
    <xf numFmtId="38" fontId="11" fillId="0" borderId="25" xfId="51" applyFont="1" applyBorder="1" applyAlignment="1">
      <alignment vertical="center"/>
    </xf>
    <xf numFmtId="38" fontId="11" fillId="0" borderId="26" xfId="51" applyFont="1" applyBorder="1" applyAlignment="1">
      <alignment vertical="center"/>
    </xf>
    <xf numFmtId="0" fontId="12" fillId="0" borderId="33" xfId="62" applyBorder="1" applyAlignment="1" applyProtection="1">
      <alignment horizontal="center" vertical="center"/>
      <protection/>
    </xf>
    <xf numFmtId="0" fontId="12" fillId="0" borderId="34" xfId="62" applyBorder="1" applyAlignment="1" applyProtection="1">
      <alignment horizontal="center" vertical="center"/>
      <protection/>
    </xf>
    <xf numFmtId="38" fontId="11" fillId="0" borderId="35" xfId="51" applyFont="1" applyBorder="1" applyAlignment="1">
      <alignment vertical="center"/>
    </xf>
    <xf numFmtId="0" fontId="12" fillId="0" borderId="36" xfId="62" applyBorder="1" applyAlignment="1" applyProtection="1">
      <alignment vertical="center"/>
      <protection/>
    </xf>
    <xf numFmtId="0" fontId="0" fillId="33" borderId="10" xfId="64" applyFont="1" applyFill="1" applyBorder="1" applyProtection="1">
      <alignment/>
      <protection/>
    </xf>
    <xf numFmtId="38" fontId="19" fillId="0" borderId="26" xfId="49" applyFont="1" applyBorder="1" applyAlignment="1">
      <alignment vertical="center"/>
    </xf>
    <xf numFmtId="0" fontId="0" fillId="0" borderId="24" xfId="0" applyFill="1" applyBorder="1" applyAlignment="1" applyProtection="1">
      <alignment vertical="center"/>
      <protection/>
    </xf>
    <xf numFmtId="0" fontId="0" fillId="0" borderId="25" xfId="0" applyFill="1" applyBorder="1" applyAlignment="1">
      <alignment horizontal="center" vertical="center"/>
    </xf>
    <xf numFmtId="0" fontId="14" fillId="0" borderId="25" xfId="0" applyFont="1" applyFill="1" applyBorder="1" applyAlignment="1">
      <alignment horizontal="center" vertical="center" shrinkToFit="1"/>
    </xf>
    <xf numFmtId="38" fontId="11" fillId="0" borderId="25" xfId="49" applyFont="1" applyFill="1" applyBorder="1" applyAlignment="1">
      <alignment vertical="center"/>
    </xf>
    <xf numFmtId="38" fontId="11" fillId="0" borderId="26" xfId="49" applyFont="1" applyFill="1" applyBorder="1" applyAlignment="1">
      <alignment vertical="center"/>
    </xf>
    <xf numFmtId="0" fontId="10" fillId="34" borderId="0" xfId="0" applyFont="1" applyFill="1" applyAlignment="1">
      <alignment horizontal="left" vertical="center" wrapText="1"/>
    </xf>
    <xf numFmtId="0" fontId="8" fillId="0" borderId="0" xfId="0" applyFont="1" applyBorder="1" applyAlignment="1">
      <alignment vertical="center" shrinkToFit="1"/>
    </xf>
    <xf numFmtId="0" fontId="13" fillId="0" borderId="0" xfId="0" applyFont="1" applyFill="1" applyBorder="1" applyAlignment="1" applyProtection="1">
      <alignment vertical="top" wrapText="1"/>
      <protection/>
    </xf>
    <xf numFmtId="178" fontId="10" fillId="35" borderId="37" xfId="0" applyNumberFormat="1" applyFont="1" applyFill="1" applyBorder="1" applyAlignment="1" applyProtection="1">
      <alignment vertical="center"/>
      <protection locked="0"/>
    </xf>
    <xf numFmtId="0" fontId="10" fillId="34" borderId="0" xfId="0" applyFont="1" applyFill="1" applyAlignment="1">
      <alignment vertical="center"/>
    </xf>
    <xf numFmtId="0" fontId="10" fillId="34" borderId="0" xfId="0" applyFont="1" applyFill="1" applyAlignment="1">
      <alignment/>
    </xf>
    <xf numFmtId="0" fontId="10" fillId="0" borderId="0" xfId="0" applyFont="1" applyAlignment="1" applyProtection="1">
      <alignment vertical="top" wrapText="1"/>
      <protection/>
    </xf>
    <xf numFmtId="0" fontId="89" fillId="34" borderId="0" xfId="0" applyFont="1" applyFill="1" applyAlignment="1">
      <alignment horizontal="left" vertical="center"/>
    </xf>
    <xf numFmtId="0" fontId="25" fillId="0" borderId="0" xfId="0" applyFont="1" applyAlignment="1">
      <alignment/>
    </xf>
    <xf numFmtId="176" fontId="25" fillId="0" borderId="0" xfId="0" applyNumberFormat="1" applyFont="1" applyAlignment="1">
      <alignment/>
    </xf>
    <xf numFmtId="0" fontId="25" fillId="0" borderId="0" xfId="0" applyFont="1" applyAlignment="1" applyProtection="1">
      <alignment horizontal="left"/>
      <protection/>
    </xf>
    <xf numFmtId="0" fontId="25" fillId="0" borderId="0" xfId="0" applyFont="1" applyAlignment="1" applyProtection="1">
      <alignment/>
      <protection/>
    </xf>
    <xf numFmtId="0" fontId="27" fillId="36" borderId="0" xfId="0" applyFont="1" applyFill="1" applyAlignment="1">
      <alignment/>
    </xf>
    <xf numFmtId="0" fontId="25" fillId="36" borderId="0" xfId="0" applyFont="1" applyFill="1" applyAlignment="1">
      <alignment/>
    </xf>
    <xf numFmtId="176" fontId="25" fillId="36" borderId="0" xfId="0" applyNumberFormat="1" applyFont="1" applyFill="1" applyAlignment="1">
      <alignment/>
    </xf>
    <xf numFmtId="0" fontId="25" fillId="36" borderId="0" xfId="0" applyFont="1" applyFill="1" applyAlignment="1" applyProtection="1">
      <alignment horizontal="left"/>
      <protection/>
    </xf>
    <xf numFmtId="0" fontId="28" fillId="36" borderId="0" xfId="0" applyFont="1" applyFill="1" applyAlignment="1">
      <alignment horizontal="right"/>
    </xf>
    <xf numFmtId="0" fontId="28" fillId="0" borderId="0" xfId="0" applyFont="1" applyFill="1" applyAlignment="1">
      <alignment horizontal="right"/>
    </xf>
    <xf numFmtId="0" fontId="25" fillId="0" borderId="0" xfId="0" applyFont="1" applyFill="1" applyAlignment="1">
      <alignment/>
    </xf>
    <xf numFmtId="0" fontId="25" fillId="0" borderId="0" xfId="0" applyFont="1" applyBorder="1" applyAlignment="1" applyProtection="1">
      <alignment/>
      <protection/>
    </xf>
    <xf numFmtId="0" fontId="28" fillId="0" borderId="0" xfId="0" applyFont="1" applyFill="1" applyBorder="1" applyAlignment="1" applyProtection="1">
      <alignment horizontal="left"/>
      <protection/>
    </xf>
    <xf numFmtId="176" fontId="31" fillId="0" borderId="0" xfId="0" applyNumberFormat="1" applyFont="1" applyAlignment="1">
      <alignment/>
    </xf>
    <xf numFmtId="0" fontId="25" fillId="37" borderId="0" xfId="0" applyFont="1" applyFill="1" applyBorder="1" applyAlignment="1">
      <alignment/>
    </xf>
    <xf numFmtId="0" fontId="25" fillId="37" borderId="0" xfId="0" applyFont="1" applyFill="1" applyBorder="1" applyAlignment="1" applyProtection="1">
      <alignment/>
      <protection/>
    </xf>
    <xf numFmtId="0" fontId="29" fillId="37" borderId="0" xfId="0" applyNumberFormat="1" applyFont="1" applyFill="1" applyBorder="1" applyAlignment="1">
      <alignment horizontal="left"/>
    </xf>
    <xf numFmtId="0" fontId="25" fillId="0" borderId="0" xfId="0" applyFont="1" applyBorder="1" applyAlignment="1">
      <alignment/>
    </xf>
    <xf numFmtId="176" fontId="29" fillId="37" borderId="0" xfId="0" applyNumberFormat="1" applyFont="1" applyFill="1" applyBorder="1" applyAlignment="1">
      <alignment horizontal="left"/>
    </xf>
    <xf numFmtId="0" fontId="25" fillId="36" borderId="0" xfId="0" applyFont="1" applyFill="1" applyAlignment="1">
      <alignment vertical="center"/>
    </xf>
    <xf numFmtId="0" fontId="25" fillId="36" borderId="0" xfId="0" applyFont="1" applyFill="1" applyAlignment="1" applyProtection="1">
      <alignment horizontal="left" vertical="center"/>
      <protection/>
    </xf>
    <xf numFmtId="176" fontId="29" fillId="36" borderId="0" xfId="0" applyNumberFormat="1" applyFont="1" applyFill="1" applyBorder="1" applyAlignment="1" applyProtection="1">
      <alignment vertical="center"/>
      <protection/>
    </xf>
    <xf numFmtId="0" fontId="25" fillId="36" borderId="0" xfId="0" applyFont="1" applyFill="1" applyAlignment="1">
      <alignment horizontal="right" vertical="center"/>
    </xf>
    <xf numFmtId="0" fontId="25" fillId="0" borderId="0" xfId="0" applyFont="1" applyAlignment="1">
      <alignment vertical="center"/>
    </xf>
    <xf numFmtId="0" fontId="25" fillId="0" borderId="0" xfId="0" applyFont="1" applyAlignment="1" applyProtection="1">
      <alignment horizontal="left" vertical="center"/>
      <protection/>
    </xf>
    <xf numFmtId="176" fontId="29" fillId="0" borderId="0" xfId="0" applyNumberFormat="1" applyFont="1" applyBorder="1" applyAlignment="1" applyProtection="1">
      <alignment vertical="center"/>
      <protection/>
    </xf>
    <xf numFmtId="0" fontId="25" fillId="0" borderId="0" xfId="0" applyFont="1" applyAlignment="1">
      <alignment horizontal="right" vertical="center"/>
    </xf>
    <xf numFmtId="0" fontId="26" fillId="38" borderId="0" xfId="0" applyFont="1" applyFill="1" applyAlignment="1">
      <alignment/>
    </xf>
    <xf numFmtId="0" fontId="25" fillId="38" borderId="0" xfId="0" applyFont="1" applyFill="1" applyAlignment="1">
      <alignment/>
    </xf>
    <xf numFmtId="0" fontId="25" fillId="38" borderId="0" xfId="0" applyFont="1" applyFill="1" applyAlignment="1" applyProtection="1">
      <alignment horizontal="left" vertical="center"/>
      <protection/>
    </xf>
    <xf numFmtId="0" fontId="25" fillId="38" borderId="0" xfId="0" applyFont="1" applyFill="1" applyAlignment="1">
      <alignment vertical="center"/>
    </xf>
    <xf numFmtId="176" fontId="29" fillId="38" borderId="0" xfId="0" applyNumberFormat="1" applyFont="1" applyFill="1" applyBorder="1" applyAlignment="1" applyProtection="1">
      <alignment vertical="center"/>
      <protection/>
    </xf>
    <xf numFmtId="0" fontId="25" fillId="38" borderId="0" xfId="0" applyFont="1" applyFill="1" applyAlignment="1">
      <alignment horizontal="right" vertical="center"/>
    </xf>
    <xf numFmtId="0" fontId="28" fillId="38" borderId="0" xfId="0" applyFont="1" applyFill="1" applyAlignment="1">
      <alignment horizontal="right" vertical="center"/>
    </xf>
    <xf numFmtId="0" fontId="25" fillId="39" borderId="0" xfId="0" applyFont="1" applyFill="1" applyAlignment="1">
      <alignment/>
    </xf>
    <xf numFmtId="0" fontId="32" fillId="39" borderId="0" xfId="0" applyFont="1" applyFill="1" applyBorder="1" applyAlignment="1" applyProtection="1">
      <alignment horizontal="left" vertical="center"/>
      <protection/>
    </xf>
    <xf numFmtId="0" fontId="25" fillId="39" borderId="0" xfId="0" applyFont="1" applyFill="1" applyBorder="1" applyAlignment="1">
      <alignment vertical="center"/>
    </xf>
    <xf numFmtId="176" fontId="33" fillId="39" borderId="0" xfId="0" applyNumberFormat="1" applyFont="1" applyFill="1" applyBorder="1" applyAlignment="1" applyProtection="1">
      <alignment vertical="center"/>
      <protection locked="0"/>
    </xf>
    <xf numFmtId="180" fontId="90" fillId="34" borderId="0" xfId="0" applyNumberFormat="1" applyFont="1" applyFill="1" applyAlignment="1">
      <alignment/>
    </xf>
    <xf numFmtId="0" fontId="29" fillId="0" borderId="0" xfId="0" applyFont="1" applyFill="1" applyBorder="1" applyAlignment="1" applyProtection="1">
      <alignment horizontal="left" vertical="center"/>
      <protection/>
    </xf>
    <xf numFmtId="0" fontId="25" fillId="0" borderId="0" xfId="0" applyFont="1" applyBorder="1" applyAlignment="1">
      <alignment horizontal="right" vertical="center"/>
    </xf>
    <xf numFmtId="0" fontId="33" fillId="0" borderId="0" xfId="0" applyFont="1" applyAlignment="1">
      <alignment vertical="center"/>
    </xf>
    <xf numFmtId="0" fontId="27" fillId="39" borderId="0" xfId="0" applyFont="1" applyFill="1" applyAlignment="1">
      <alignment/>
    </xf>
    <xf numFmtId="0" fontId="33" fillId="39" borderId="0" xfId="0" applyFont="1" applyFill="1" applyAlignment="1">
      <alignment vertical="center"/>
    </xf>
    <xf numFmtId="0" fontId="28" fillId="39" borderId="0" xfId="0" applyFont="1" applyFill="1" applyAlignment="1">
      <alignment horizontal="right" vertical="center"/>
    </xf>
    <xf numFmtId="0" fontId="28" fillId="0" borderId="0" xfId="0" applyFont="1" applyFill="1" applyAlignment="1">
      <alignment horizontal="right" vertical="center"/>
    </xf>
    <xf numFmtId="0" fontId="25" fillId="0" borderId="0" xfId="0" applyFont="1" applyBorder="1" applyAlignment="1">
      <alignment vertical="center"/>
    </xf>
    <xf numFmtId="0" fontId="29" fillId="39" borderId="0" xfId="0" applyFont="1" applyFill="1" applyBorder="1" applyAlignment="1" applyProtection="1">
      <alignment horizontal="left" vertical="center"/>
      <protection/>
    </xf>
    <xf numFmtId="0" fontId="25" fillId="0" borderId="0" xfId="0" applyFont="1" applyAlignment="1" applyProtection="1">
      <alignment horizontal="right" vertical="center"/>
      <protection/>
    </xf>
    <xf numFmtId="0" fontId="35" fillId="40" borderId="0" xfId="0" applyFont="1" applyFill="1" applyAlignment="1">
      <alignment/>
    </xf>
    <xf numFmtId="0" fontId="29" fillId="40" borderId="0" xfId="0" applyFont="1" applyFill="1" applyBorder="1" applyAlignment="1" applyProtection="1">
      <alignment horizontal="left" vertical="center"/>
      <protection/>
    </xf>
    <xf numFmtId="0" fontId="25" fillId="40" borderId="0" xfId="0" applyFont="1" applyFill="1" applyAlignment="1">
      <alignment/>
    </xf>
    <xf numFmtId="0" fontId="33" fillId="40" borderId="0" xfId="0" applyFont="1" applyFill="1" applyAlignment="1">
      <alignment vertical="center"/>
    </xf>
    <xf numFmtId="0" fontId="28" fillId="40" borderId="0" xfId="0" applyFont="1" applyFill="1" applyAlignment="1">
      <alignment horizontal="right" vertical="center"/>
    </xf>
    <xf numFmtId="180" fontId="91" fillId="34" borderId="0" xfId="0" applyNumberFormat="1" applyFont="1" applyFill="1" applyAlignment="1">
      <alignment/>
    </xf>
    <xf numFmtId="0" fontId="92" fillId="0" borderId="0" xfId="0" applyFont="1" applyFill="1" applyBorder="1" applyAlignment="1" applyProtection="1">
      <alignment vertical="center" shrinkToFit="1"/>
      <protection/>
    </xf>
    <xf numFmtId="0" fontId="36" fillId="34" borderId="0" xfId="0" applyFont="1" applyFill="1" applyAlignment="1">
      <alignment horizontal="left" vertical="center" wrapText="1"/>
    </xf>
    <xf numFmtId="0" fontId="25" fillId="34" borderId="0" xfId="0" applyFont="1" applyFill="1" applyAlignment="1">
      <alignment vertical="center" wrapText="1"/>
    </xf>
    <xf numFmtId="176" fontId="33" fillId="0" borderId="0" xfId="0" applyNumberFormat="1" applyFont="1" applyAlignment="1">
      <alignment vertical="center"/>
    </xf>
    <xf numFmtId="176" fontId="29" fillId="38" borderId="0" xfId="0" applyNumberFormat="1" applyFont="1" applyFill="1" applyBorder="1" applyAlignment="1">
      <alignment vertical="center"/>
    </xf>
    <xf numFmtId="0" fontId="29" fillId="0" borderId="31" xfId="0" applyFont="1" applyBorder="1" applyAlignment="1">
      <alignment vertical="center"/>
    </xf>
    <xf numFmtId="0" fontId="26" fillId="0" borderId="0" xfId="0" applyFont="1" applyAlignment="1">
      <alignment vertical="center"/>
    </xf>
    <xf numFmtId="176" fontId="25" fillId="0" borderId="0" xfId="0" applyNumberFormat="1" applyFont="1" applyAlignment="1">
      <alignment vertical="center"/>
    </xf>
    <xf numFmtId="0" fontId="26" fillId="39" borderId="0" xfId="0" applyFont="1" applyFill="1" applyAlignment="1">
      <alignment/>
    </xf>
    <xf numFmtId="0" fontId="93" fillId="0" borderId="0" xfId="0" applyFont="1" applyFill="1" applyAlignment="1">
      <alignment horizontal="left" vertical="center" indent="1"/>
    </xf>
    <xf numFmtId="0" fontId="34" fillId="0" borderId="38" xfId="0" applyFont="1" applyBorder="1" applyAlignment="1" applyProtection="1">
      <alignment horizontal="right" wrapText="1"/>
      <protection/>
    </xf>
    <xf numFmtId="176" fontId="25" fillId="0" borderId="0" xfId="0" applyNumberFormat="1" applyFont="1" applyFill="1" applyBorder="1" applyAlignment="1" applyProtection="1">
      <alignment horizontal="center" vertical="center"/>
      <protection/>
    </xf>
    <xf numFmtId="0" fontId="25" fillId="0" borderId="39" xfId="0" applyFont="1" applyFill="1" applyBorder="1" applyAlignment="1" applyProtection="1">
      <alignment horizontal="center" vertical="center" shrinkToFit="1"/>
      <protection/>
    </xf>
    <xf numFmtId="0" fontId="12" fillId="0" borderId="0" xfId="0" applyFont="1" applyFill="1" applyBorder="1" applyAlignment="1" applyProtection="1">
      <alignment horizontal="left"/>
      <protection/>
    </xf>
    <xf numFmtId="176" fontId="94" fillId="0" borderId="40" xfId="0" applyNumberFormat="1" applyFont="1" applyFill="1" applyBorder="1" applyAlignment="1">
      <alignment shrinkToFit="1"/>
    </xf>
    <xf numFmtId="0" fontId="30" fillId="0" borderId="41" xfId="0" applyFont="1" applyBorder="1" applyAlignment="1" applyProtection="1">
      <alignment horizontal="center" wrapText="1"/>
      <protection/>
    </xf>
    <xf numFmtId="176" fontId="94" fillId="0" borderId="42" xfId="0" applyNumberFormat="1" applyFont="1" applyFill="1" applyBorder="1" applyAlignment="1">
      <alignment shrinkToFit="1"/>
    </xf>
    <xf numFmtId="0" fontId="30" fillId="0" borderId="43" xfId="0" applyFont="1" applyBorder="1" applyAlignment="1" applyProtection="1">
      <alignment horizontal="center" wrapText="1"/>
      <protection/>
    </xf>
    <xf numFmtId="176" fontId="33" fillId="0" borderId="0" xfId="0" applyNumberFormat="1" applyFont="1" applyFill="1" applyBorder="1" applyAlignment="1" applyProtection="1">
      <alignment vertical="center"/>
      <protection locked="0"/>
    </xf>
    <xf numFmtId="176" fontId="95" fillId="35" borderId="37" xfId="0" applyNumberFormat="1" applyFont="1" applyFill="1" applyBorder="1" applyAlignment="1">
      <alignment vertical="center" shrinkToFit="1"/>
    </xf>
    <xf numFmtId="176" fontId="95" fillId="35" borderId="44" xfId="0" applyNumberFormat="1" applyFont="1" applyFill="1" applyBorder="1" applyAlignment="1">
      <alignment vertical="center" shrinkToFit="1"/>
    </xf>
    <xf numFmtId="176" fontId="95" fillId="0" borderId="0" xfId="0" applyNumberFormat="1" applyFont="1" applyFill="1" applyBorder="1" applyAlignment="1">
      <alignment vertical="center" shrinkToFit="1"/>
    </xf>
    <xf numFmtId="0" fontId="12" fillId="34" borderId="0" xfId="0" applyFont="1" applyFill="1" applyAlignment="1">
      <alignment/>
    </xf>
    <xf numFmtId="0" fontId="12" fillId="0" borderId="0" xfId="0" applyFont="1" applyAlignment="1">
      <alignment/>
    </xf>
    <xf numFmtId="0" fontId="12" fillId="41" borderId="28" xfId="0" applyFont="1" applyFill="1" applyBorder="1" applyAlignment="1">
      <alignment horizontal="center" vertical="center" wrapText="1"/>
    </xf>
    <xf numFmtId="0" fontId="12" fillId="41" borderId="45" xfId="0" applyFont="1" applyFill="1" applyBorder="1" applyAlignment="1">
      <alignment horizontal="center" vertical="center" wrapText="1"/>
    </xf>
    <xf numFmtId="0" fontId="12" fillId="42" borderId="28" xfId="0" applyFont="1" applyFill="1" applyBorder="1" applyAlignment="1">
      <alignment horizontal="center" vertical="center" wrapText="1"/>
    </xf>
    <xf numFmtId="0" fontId="12" fillId="42" borderId="28" xfId="0" applyFont="1" applyFill="1" applyBorder="1" applyAlignment="1">
      <alignment horizontal="center" vertical="center" shrinkToFit="1"/>
    </xf>
    <xf numFmtId="0" fontId="22" fillId="39" borderId="0" xfId="0" applyFont="1" applyFill="1" applyAlignment="1">
      <alignment/>
    </xf>
    <xf numFmtId="0" fontId="12" fillId="0" borderId="0" xfId="0" applyFont="1" applyFill="1" applyBorder="1" applyAlignment="1" applyProtection="1">
      <alignment horizontal="left" vertical="center" wrapText="1"/>
      <protection/>
    </xf>
    <xf numFmtId="0" fontId="12" fillId="34" borderId="0" xfId="0" applyFont="1" applyFill="1" applyBorder="1" applyAlignment="1">
      <alignment horizontal="left" vertical="center" wrapText="1"/>
    </xf>
    <xf numFmtId="0" fontId="12" fillId="34" borderId="46" xfId="0" applyFont="1" applyFill="1" applyBorder="1" applyAlignment="1">
      <alignment horizontal="center" vertical="center" wrapText="1"/>
    </xf>
    <xf numFmtId="0" fontId="8" fillId="34" borderId="46" xfId="0" applyFont="1" applyFill="1" applyBorder="1" applyAlignment="1">
      <alignment horizontal="center" vertical="center" wrapText="1"/>
    </xf>
    <xf numFmtId="0" fontId="12" fillId="34" borderId="46" xfId="0" applyFont="1" applyFill="1" applyBorder="1" applyAlignment="1">
      <alignment horizontal="center" vertical="center"/>
    </xf>
    <xf numFmtId="0" fontId="12" fillId="34" borderId="47" xfId="0" applyFont="1" applyFill="1" applyBorder="1" applyAlignment="1">
      <alignment horizontal="center" vertical="center"/>
    </xf>
    <xf numFmtId="0" fontId="23" fillId="0" borderId="0" xfId="0" applyFont="1" applyAlignment="1">
      <alignment horizontal="left" vertical="center" wrapText="1" indent="1"/>
    </xf>
    <xf numFmtId="0" fontId="12" fillId="43" borderId="28" xfId="0" applyFont="1" applyFill="1" applyBorder="1" applyAlignment="1">
      <alignment horizontal="center" vertical="center" wrapText="1"/>
    </xf>
    <xf numFmtId="0" fontId="12" fillId="42" borderId="28" xfId="0" applyFont="1" applyFill="1" applyBorder="1" applyAlignment="1">
      <alignment horizontal="center" vertical="center" wrapText="1"/>
    </xf>
    <xf numFmtId="0" fontId="12" fillId="40" borderId="28" xfId="0" applyFont="1" applyFill="1" applyBorder="1" applyAlignment="1">
      <alignment horizontal="center" vertical="center" wrapText="1"/>
    </xf>
    <xf numFmtId="0" fontId="12" fillId="38" borderId="48" xfId="0" applyFont="1" applyFill="1" applyBorder="1" applyAlignment="1">
      <alignment horizontal="center" vertical="center" wrapText="1"/>
    </xf>
    <xf numFmtId="0" fontId="12" fillId="38" borderId="49" xfId="0" applyFont="1" applyFill="1" applyBorder="1" applyAlignment="1">
      <alignment horizontal="center" vertical="center" wrapText="1"/>
    </xf>
    <xf numFmtId="0" fontId="12" fillId="34" borderId="0" xfId="0" applyFont="1" applyFill="1" applyAlignment="1">
      <alignment horizontal="left" vertical="center" wrapText="1"/>
    </xf>
    <xf numFmtId="0" fontId="12" fillId="34" borderId="50" xfId="0" applyFont="1" applyFill="1" applyBorder="1" applyAlignment="1">
      <alignment horizontal="left" vertical="center" wrapText="1"/>
    </xf>
    <xf numFmtId="0" fontId="12" fillId="38" borderId="28" xfId="0" applyFont="1" applyFill="1" applyBorder="1" applyAlignment="1">
      <alignment horizontal="center" vertical="center" wrapText="1"/>
    </xf>
    <xf numFmtId="0" fontId="10" fillId="0" borderId="0" xfId="0" applyFont="1" applyAlignment="1" applyProtection="1">
      <alignment horizontal="left" vertical="center" wrapText="1"/>
      <protection/>
    </xf>
    <xf numFmtId="0" fontId="8" fillId="0" borderId="0" xfId="0" applyFont="1" applyAlignment="1">
      <alignment vertical="center"/>
    </xf>
    <xf numFmtId="0" fontId="30" fillId="34" borderId="51" xfId="0" applyFont="1" applyFill="1" applyBorder="1" applyAlignment="1">
      <alignment horizontal="center" vertical="center"/>
    </xf>
    <xf numFmtId="0" fontId="30" fillId="34" borderId="52" xfId="0" applyFont="1" applyFill="1" applyBorder="1" applyAlignment="1">
      <alignment horizontal="center" vertical="center"/>
    </xf>
    <xf numFmtId="0" fontId="8" fillId="34" borderId="46" xfId="0" applyFont="1" applyFill="1" applyBorder="1" applyAlignment="1">
      <alignment horizontal="center" vertical="center"/>
    </xf>
    <xf numFmtId="0" fontId="26" fillId="0" borderId="53" xfId="64" applyFont="1" applyFill="1" applyBorder="1" applyAlignment="1" applyProtection="1">
      <alignment horizontal="center" vertical="center" wrapText="1" shrinkToFit="1"/>
      <protection/>
    </xf>
    <xf numFmtId="0" fontId="26" fillId="0" borderId="54" xfId="64" applyFont="1" applyFill="1" applyBorder="1" applyAlignment="1" applyProtection="1">
      <alignment horizontal="center" vertical="center" wrapText="1" shrinkToFit="1"/>
      <protection/>
    </xf>
    <xf numFmtId="0" fontId="27" fillId="0" borderId="55" xfId="0" applyFont="1" applyFill="1" applyBorder="1" applyAlignment="1" applyProtection="1">
      <alignment horizontal="center" vertical="center" shrinkToFit="1"/>
      <protection/>
    </xf>
    <xf numFmtId="0" fontId="27" fillId="0" borderId="56" xfId="0" applyFont="1" applyFill="1" applyBorder="1" applyAlignment="1" applyProtection="1">
      <alignment horizontal="center" vertical="center" shrinkToFit="1"/>
      <protection/>
    </xf>
    <xf numFmtId="0" fontId="25" fillId="0" borderId="57" xfId="0" applyFont="1" applyFill="1" applyBorder="1" applyAlignment="1">
      <alignment horizontal="center"/>
    </xf>
    <xf numFmtId="0" fontId="25" fillId="0" borderId="58" xfId="0" applyFont="1" applyFill="1" applyBorder="1" applyAlignment="1">
      <alignment horizontal="center"/>
    </xf>
    <xf numFmtId="0" fontId="25" fillId="0" borderId="22" xfId="0" applyFont="1" applyFill="1" applyBorder="1" applyAlignment="1">
      <alignment horizontal="center"/>
    </xf>
    <xf numFmtId="0" fontId="27" fillId="0" borderId="53" xfId="0" applyFont="1" applyFill="1" applyBorder="1" applyAlignment="1" applyProtection="1">
      <alignment horizontal="center" vertical="center" shrinkToFit="1"/>
      <protection/>
    </xf>
    <xf numFmtId="0" fontId="27" fillId="0" borderId="59" xfId="0" applyFont="1" applyFill="1" applyBorder="1" applyAlignment="1" applyProtection="1">
      <alignment horizontal="center" vertical="center" shrinkToFit="1"/>
      <protection/>
    </xf>
    <xf numFmtId="0" fontId="27" fillId="0" borderId="54" xfId="0" applyFont="1" applyFill="1" applyBorder="1" applyAlignment="1" applyProtection="1">
      <alignment horizontal="center" vertical="center" shrinkToFit="1"/>
      <protection/>
    </xf>
    <xf numFmtId="0" fontId="30" fillId="34" borderId="60" xfId="0" applyFont="1" applyFill="1" applyBorder="1" applyAlignment="1">
      <alignment horizontal="center" vertical="center"/>
    </xf>
    <xf numFmtId="0" fontId="12" fillId="0" borderId="0" xfId="0" applyFont="1" applyFill="1" applyBorder="1" applyAlignment="1" applyProtection="1">
      <alignment horizontal="left" vertical="center" wrapText="1" indent="1"/>
      <protection/>
    </xf>
    <xf numFmtId="0" fontId="23" fillId="0" borderId="0" xfId="0" applyFont="1" applyFill="1" applyBorder="1" applyAlignment="1" applyProtection="1">
      <alignment horizontal="left" vertical="center" wrapText="1"/>
      <protection/>
    </xf>
    <xf numFmtId="0" fontId="24" fillId="34" borderId="0" xfId="0" applyFont="1" applyFill="1" applyAlignment="1">
      <alignment horizontal="left" vertical="center" wrapText="1" indent="1"/>
    </xf>
    <xf numFmtId="0" fontId="23" fillId="34" borderId="0" xfId="0" applyFont="1" applyFill="1" applyAlignment="1">
      <alignment horizontal="left" vertical="center" wrapText="1" indent="1"/>
    </xf>
    <xf numFmtId="0" fontId="12" fillId="34" borderId="0" xfId="0" applyFont="1" applyFill="1" applyAlignment="1">
      <alignment vertical="center" wrapText="1"/>
    </xf>
    <xf numFmtId="0" fontId="12" fillId="34" borderId="50" xfId="0" applyFont="1" applyFill="1" applyBorder="1" applyAlignment="1">
      <alignment vertical="center" wrapText="1"/>
    </xf>
    <xf numFmtId="0" fontId="12" fillId="34" borderId="0" xfId="0" applyFont="1" applyFill="1" applyAlignment="1">
      <alignment horizontal="left" vertical="center" wrapText="1" indent="1"/>
    </xf>
    <xf numFmtId="0" fontId="10" fillId="0" borderId="0" xfId="0" applyFont="1" applyFill="1" applyBorder="1" applyAlignment="1" applyProtection="1">
      <alignment horizontal="left" vertical="center" wrapText="1"/>
      <protection/>
    </xf>
    <xf numFmtId="0" fontId="23" fillId="34" borderId="0" xfId="0" applyFont="1" applyFill="1" applyAlignment="1">
      <alignment horizontal="left" vertical="top" wrapText="1"/>
    </xf>
    <xf numFmtId="0" fontId="12" fillId="41" borderId="28" xfId="0" applyFont="1" applyFill="1" applyBorder="1" applyAlignment="1">
      <alignment horizontal="center" vertical="center" wrapText="1"/>
    </xf>
    <xf numFmtId="0" fontId="96" fillId="44" borderId="61" xfId="0" applyFont="1" applyFill="1" applyBorder="1" applyAlignment="1">
      <alignment horizontal="center" vertical="center"/>
    </xf>
    <xf numFmtId="0" fontId="96" fillId="44" borderId="62" xfId="0" applyFont="1" applyFill="1" applyBorder="1" applyAlignment="1">
      <alignment horizontal="center" vertical="center"/>
    </xf>
    <xf numFmtId="0" fontId="96" fillId="44" borderId="63" xfId="0" applyFont="1" applyFill="1" applyBorder="1" applyAlignment="1">
      <alignment horizontal="center" vertical="center"/>
    </xf>
    <xf numFmtId="0" fontId="96" fillId="44" borderId="39" xfId="0" applyFont="1" applyFill="1" applyBorder="1" applyAlignment="1">
      <alignment horizontal="center" vertical="center"/>
    </xf>
    <xf numFmtId="176" fontId="97" fillId="44" borderId="62" xfId="0" applyNumberFormat="1" applyFont="1" applyFill="1" applyBorder="1" applyAlignment="1">
      <alignment horizontal="right" vertical="center"/>
    </xf>
    <xf numFmtId="176" fontId="97" fillId="44" borderId="39" xfId="0" applyNumberFormat="1" applyFont="1" applyFill="1" applyBorder="1" applyAlignment="1">
      <alignment horizontal="right" vertical="center"/>
    </xf>
    <xf numFmtId="0" fontId="98" fillId="44" borderId="64" xfId="0" applyFont="1" applyFill="1" applyBorder="1" applyAlignment="1">
      <alignment horizontal="right" vertical="center"/>
    </xf>
    <xf numFmtId="0" fontId="98" fillId="44" borderId="65" xfId="0" applyFont="1" applyFill="1" applyBorder="1" applyAlignment="1">
      <alignment horizontal="right" vertical="center"/>
    </xf>
    <xf numFmtId="0" fontId="12" fillId="38" borderId="66" xfId="0" applyFont="1" applyFill="1" applyBorder="1" applyAlignment="1">
      <alignment horizontal="center" vertical="center" wrapText="1"/>
    </xf>
    <xf numFmtId="0" fontId="99" fillId="42" borderId="45" xfId="0" applyFont="1" applyFill="1" applyBorder="1" applyAlignment="1">
      <alignment horizontal="center" vertical="center" wrapText="1"/>
    </xf>
    <xf numFmtId="0" fontId="12" fillId="41" borderId="45" xfId="0" applyFont="1" applyFill="1" applyBorder="1" applyAlignment="1">
      <alignment horizontal="center" vertical="center" wrapText="1"/>
    </xf>
    <xf numFmtId="0" fontId="12" fillId="43" borderId="45" xfId="0" applyFont="1" applyFill="1" applyBorder="1" applyAlignment="1">
      <alignment horizontal="center" vertical="center" wrapText="1"/>
    </xf>
    <xf numFmtId="0" fontId="37" fillId="45" borderId="45" xfId="0" applyFont="1" applyFill="1" applyBorder="1" applyAlignment="1">
      <alignment horizontal="center" vertical="center" wrapText="1"/>
    </xf>
    <xf numFmtId="0" fontId="37" fillId="38" borderId="45" xfId="0" applyFont="1" applyFill="1" applyBorder="1" applyAlignment="1">
      <alignment horizontal="center" vertical="center" wrapText="1"/>
    </xf>
    <xf numFmtId="0" fontId="100" fillId="42" borderId="45" xfId="0" applyFont="1" applyFill="1" applyBorder="1" applyAlignment="1">
      <alignment horizontal="center" vertical="center" wrapText="1"/>
    </xf>
    <xf numFmtId="0" fontId="41" fillId="45" borderId="45"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xf numFmtId="0" fontId="43" fillId="0" borderId="0" xfId="0" applyFont="1" applyAlignment="1">
      <alignment horizontal="left" vertical="center" wrapText="1"/>
    </xf>
    <xf numFmtId="0" fontId="37" fillId="45" borderId="67" xfId="0" applyFont="1" applyFill="1" applyBorder="1" applyAlignment="1">
      <alignment horizontal="center" vertical="center" wrapText="1"/>
    </xf>
    <xf numFmtId="0" fontId="37" fillId="45" borderId="68" xfId="0" applyFont="1" applyFill="1" applyBorder="1" applyAlignment="1">
      <alignment horizontal="center" vertical="center" wrapText="1"/>
    </xf>
    <xf numFmtId="0" fontId="27" fillId="0" borderId="69" xfId="0" applyFont="1" applyFill="1" applyBorder="1" applyAlignment="1" applyProtection="1">
      <alignment horizontal="center" vertical="center" shrinkToFit="1"/>
      <protection/>
    </xf>
    <xf numFmtId="0" fontId="27" fillId="0" borderId="38" xfId="0" applyFont="1" applyFill="1" applyBorder="1" applyAlignment="1" applyProtection="1">
      <alignment horizontal="center" vertical="center" shrinkToFit="1"/>
      <protection/>
    </xf>
    <xf numFmtId="0" fontId="37" fillId="38" borderId="70" xfId="0" applyFont="1" applyFill="1" applyBorder="1" applyAlignment="1">
      <alignment horizontal="center" vertical="center" wrapText="1"/>
    </xf>
    <xf numFmtId="0" fontId="12" fillId="0" borderId="71" xfId="62" applyBorder="1" applyAlignment="1" applyProtection="1">
      <alignment horizontal="center" vertical="center"/>
      <protection/>
    </xf>
    <xf numFmtId="0" fontId="12" fillId="0" borderId="29" xfId="62" applyBorder="1" applyAlignment="1" applyProtection="1">
      <alignment horizontal="center" vertical="center"/>
      <protection/>
    </xf>
    <xf numFmtId="0" fontId="12" fillId="0" borderId="71" xfId="62" applyBorder="1" applyAlignment="1">
      <alignment horizontal="center" vertical="center"/>
      <protection/>
    </xf>
    <xf numFmtId="0" fontId="12" fillId="0" borderId="29" xfId="62" applyBorder="1" applyAlignment="1">
      <alignment horizontal="center" vertical="center"/>
      <protection/>
    </xf>
    <xf numFmtId="0" fontId="12" fillId="0" borderId="72" xfId="62" applyBorder="1" applyAlignment="1">
      <alignment horizontal="center" vertical="center"/>
      <protection/>
    </xf>
    <xf numFmtId="0" fontId="12" fillId="0" borderId="73" xfId="62" applyBorder="1" applyAlignment="1" applyProtection="1">
      <alignment horizontal="center" vertical="center"/>
      <protection/>
    </xf>
    <xf numFmtId="0" fontId="12" fillId="0" borderId="74" xfId="62" applyBorder="1" applyAlignment="1" applyProtection="1">
      <alignment horizontal="center" vertical="center"/>
      <protection/>
    </xf>
    <xf numFmtId="0" fontId="12" fillId="0" borderId="75" xfId="62" applyBorder="1" applyAlignment="1" applyProtection="1">
      <alignment horizontal="center" vertical="center"/>
      <protection/>
    </xf>
    <xf numFmtId="0" fontId="0" fillId="0" borderId="71" xfId="0" applyBorder="1" applyAlignment="1">
      <alignment horizontal="center" vertical="center"/>
    </xf>
    <xf numFmtId="0" fontId="0" fillId="0" borderId="29" xfId="0" applyBorder="1" applyAlignment="1">
      <alignment horizontal="center" vertical="center"/>
    </xf>
    <xf numFmtId="0" fontId="0" fillId="0" borderId="72" xfId="0" applyBorder="1" applyAlignment="1">
      <alignment horizontal="center" vertical="center"/>
    </xf>
    <xf numFmtId="0" fontId="0" fillId="0" borderId="73" xfId="0" applyBorder="1" applyAlignment="1" applyProtection="1">
      <alignment horizontal="center" vertical="center"/>
      <protection/>
    </xf>
    <xf numFmtId="0" fontId="0" fillId="0" borderId="74" xfId="0" applyBorder="1" applyAlignment="1" applyProtection="1">
      <alignment horizontal="center" vertical="center"/>
      <protection/>
    </xf>
    <xf numFmtId="0" fontId="0" fillId="0" borderId="75" xfId="0"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29" xfId="0"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kakuzuke_sheet" xfId="63"/>
    <cellStyle name="標準_経常X2-Z"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B1:O120"/>
  <sheetViews>
    <sheetView showGridLines="0" tabSelected="1" view="pageBreakPreview" zoomScale="85" zoomScaleSheetLayoutView="85" zoomScalePageLayoutView="0" workbookViewId="0" topLeftCell="A1">
      <selection activeCell="J19" sqref="J19"/>
    </sheetView>
  </sheetViews>
  <sheetFormatPr defaultColWidth="10.66015625" defaultRowHeight="18"/>
  <cols>
    <col min="1" max="1" width="4.58203125" style="81" customWidth="1"/>
    <col min="2" max="3" width="3.58203125" style="81" customWidth="1"/>
    <col min="4" max="6" width="11.58203125" style="81" customWidth="1"/>
    <col min="7" max="9" width="14.58203125" style="81" customWidth="1"/>
    <col min="10" max="10" width="13.58203125" style="82" customWidth="1"/>
    <col min="11" max="11" width="6.58203125" style="81" customWidth="1"/>
    <col min="12" max="15" width="12.58203125" style="81" customWidth="1"/>
    <col min="16" max="16384" width="10.58203125" style="81" customWidth="1"/>
  </cols>
  <sheetData>
    <row r="1" spans="2:11" ht="21">
      <c r="B1" s="222" t="s">
        <v>175</v>
      </c>
      <c r="C1" s="222"/>
      <c r="D1" s="222"/>
      <c r="E1" s="222"/>
      <c r="F1" s="222"/>
      <c r="G1" s="222"/>
      <c r="H1" s="222"/>
      <c r="I1" s="222"/>
      <c r="J1" s="222"/>
      <c r="K1" s="222"/>
    </row>
    <row r="2" spans="2:11" ht="21">
      <c r="B2" s="223" t="s">
        <v>155</v>
      </c>
      <c r="C2" s="223"/>
      <c r="D2" s="223"/>
      <c r="E2" s="223"/>
      <c r="F2" s="223"/>
      <c r="G2" s="223"/>
      <c r="H2" s="223"/>
      <c r="I2" s="223"/>
      <c r="J2" s="223"/>
      <c r="K2" s="223"/>
    </row>
    <row r="3" spans="2:10" ht="10.5" customHeight="1">
      <c r="B3" s="22"/>
      <c r="C3" s="22"/>
      <c r="D3" s="22"/>
      <c r="E3" s="22"/>
      <c r="F3" s="22"/>
      <c r="G3" s="22"/>
      <c r="H3" s="22"/>
      <c r="I3" s="22"/>
      <c r="J3" s="23"/>
    </row>
    <row r="4" spans="2:13" ht="18.75" customHeight="1">
      <c r="B4" s="22"/>
      <c r="C4" s="22"/>
      <c r="D4" s="180" t="s">
        <v>69</v>
      </c>
      <c r="E4" s="181"/>
      <c r="F4" s="181"/>
      <c r="G4" s="181"/>
      <c r="H4" s="181"/>
      <c r="I4" s="181"/>
      <c r="J4" s="181"/>
      <c r="K4" s="83"/>
      <c r="L4" s="84"/>
      <c r="M4" s="84"/>
    </row>
    <row r="5" spans="2:13" ht="19.5" customHeight="1">
      <c r="B5" s="22"/>
      <c r="C5" s="22"/>
      <c r="D5" s="181"/>
      <c r="E5" s="181"/>
      <c r="F5" s="181"/>
      <c r="G5" s="181"/>
      <c r="H5" s="181"/>
      <c r="I5" s="181"/>
      <c r="J5" s="181"/>
      <c r="K5" s="83"/>
      <c r="L5" s="84"/>
      <c r="M5" s="84"/>
    </row>
    <row r="6" spans="6:13" ht="11.25" customHeight="1" thickBot="1">
      <c r="F6" s="79"/>
      <c r="G6" s="79"/>
      <c r="H6" s="79"/>
      <c r="I6" s="79"/>
      <c r="J6" s="79"/>
      <c r="K6" s="83"/>
      <c r="L6" s="84"/>
      <c r="M6" s="84"/>
    </row>
    <row r="7" spans="3:13" ht="19.5" customHeight="1" thickBot="1">
      <c r="C7" s="73" t="s">
        <v>91</v>
      </c>
      <c r="D7" s="76"/>
      <c r="E7" s="77" t="s">
        <v>71</v>
      </c>
      <c r="F7" s="74"/>
      <c r="G7" s="74"/>
      <c r="H7" s="74"/>
      <c r="I7" s="74"/>
      <c r="J7" s="44"/>
      <c r="K7" s="83"/>
      <c r="L7" s="84"/>
      <c r="M7" s="84"/>
    </row>
    <row r="8" spans="2:13" ht="27.75" customHeight="1">
      <c r="B8" s="22"/>
      <c r="C8" s="80" t="s">
        <v>154</v>
      </c>
      <c r="D8" s="78"/>
      <c r="E8" s="22"/>
      <c r="F8" s="75"/>
      <c r="G8" s="75"/>
      <c r="H8" s="75"/>
      <c r="I8" s="75"/>
      <c r="J8" s="75"/>
      <c r="K8" s="83"/>
      <c r="L8" s="84"/>
      <c r="M8" s="84"/>
    </row>
    <row r="9" spans="2:13" ht="18.75" customHeight="1">
      <c r="B9" s="85" t="s">
        <v>70</v>
      </c>
      <c r="C9" s="85"/>
      <c r="D9" s="86"/>
      <c r="E9" s="86"/>
      <c r="F9" s="86"/>
      <c r="G9" s="86"/>
      <c r="H9" s="86"/>
      <c r="I9" s="86"/>
      <c r="J9" s="87"/>
      <c r="K9" s="88"/>
      <c r="L9" s="84"/>
      <c r="M9" s="84"/>
    </row>
    <row r="10" spans="2:13" ht="24.75" customHeight="1">
      <c r="B10" s="86"/>
      <c r="D10" s="203" t="s">
        <v>153</v>
      </c>
      <c r="E10" s="203"/>
      <c r="F10" s="203"/>
      <c r="G10" s="203"/>
      <c r="H10" s="203"/>
      <c r="I10" s="203"/>
      <c r="J10" s="203"/>
      <c r="L10" s="84"/>
      <c r="M10" s="84"/>
    </row>
    <row r="11" spans="2:13" ht="20.25" customHeight="1">
      <c r="B11" s="89"/>
      <c r="C11" s="90"/>
      <c r="D11" s="203"/>
      <c r="E11" s="203"/>
      <c r="F11" s="203"/>
      <c r="G11" s="203"/>
      <c r="H11" s="203"/>
      <c r="I11" s="203"/>
      <c r="J11" s="203"/>
      <c r="K11" s="83"/>
      <c r="L11" s="84"/>
      <c r="M11" s="84"/>
    </row>
    <row r="12" spans="2:11" ht="17.25" customHeight="1" thickBot="1">
      <c r="B12" s="86"/>
      <c r="C12" s="189"/>
      <c r="D12" s="190"/>
      <c r="E12" s="190"/>
      <c r="F12" s="191"/>
      <c r="G12" s="148" t="s">
        <v>65</v>
      </c>
      <c r="H12" s="148" t="s">
        <v>66</v>
      </c>
      <c r="I12" s="148" t="s">
        <v>67</v>
      </c>
      <c r="J12" s="147" t="s">
        <v>68</v>
      </c>
      <c r="K12" s="92"/>
    </row>
    <row r="13" spans="2:11" ht="17.25" customHeight="1" thickBot="1">
      <c r="B13" s="86"/>
      <c r="C13" s="192" t="s">
        <v>23</v>
      </c>
      <c r="D13" s="193"/>
      <c r="E13" s="194"/>
      <c r="F13" s="146" t="s">
        <v>93</v>
      </c>
      <c r="G13" s="155"/>
      <c r="H13" s="156"/>
      <c r="I13" s="156"/>
      <c r="J13" s="150" t="e">
        <f>AVERAGE(G13:I13)</f>
        <v>#DIV/0!</v>
      </c>
      <c r="K13" s="151" t="s">
        <v>72</v>
      </c>
    </row>
    <row r="14" spans="2:11" ht="17.25" customHeight="1" thickBot="1">
      <c r="B14" s="86"/>
      <c r="C14" s="192" t="s">
        <v>79</v>
      </c>
      <c r="D14" s="193"/>
      <c r="E14" s="194"/>
      <c r="F14" s="146" t="s">
        <v>94</v>
      </c>
      <c r="G14" s="155"/>
      <c r="H14" s="156"/>
      <c r="I14" s="156"/>
      <c r="J14" s="152">
        <f>SUM(G14:I14)</f>
        <v>0</v>
      </c>
      <c r="K14" s="153" t="s">
        <v>95</v>
      </c>
    </row>
    <row r="15" spans="2:11" ht="17.25" customHeight="1" thickBot="1">
      <c r="B15" s="86"/>
      <c r="C15" s="192" t="s">
        <v>80</v>
      </c>
      <c r="D15" s="193"/>
      <c r="E15" s="194"/>
      <c r="F15" s="146" t="s">
        <v>98</v>
      </c>
      <c r="G15" s="155"/>
      <c r="H15" s="156"/>
      <c r="I15" s="156"/>
      <c r="J15" s="152">
        <f>SUM(G15:I15)</f>
        <v>0</v>
      </c>
      <c r="K15" s="153" t="s">
        <v>95</v>
      </c>
    </row>
    <row r="16" spans="2:15" ht="17.25" customHeight="1" thickBot="1">
      <c r="B16" s="86"/>
      <c r="C16" s="192" t="s">
        <v>29</v>
      </c>
      <c r="D16" s="193"/>
      <c r="E16" s="194"/>
      <c r="F16" s="146" t="s">
        <v>98</v>
      </c>
      <c r="G16" s="155"/>
      <c r="H16" s="156"/>
      <c r="I16" s="156"/>
      <c r="J16" s="152">
        <f>SUM(G16:I16)</f>
        <v>0</v>
      </c>
      <c r="K16" s="153" t="s">
        <v>95</v>
      </c>
      <c r="O16" s="83"/>
    </row>
    <row r="17" spans="2:15" ht="17.25" customHeight="1" thickBot="1">
      <c r="B17" s="86"/>
      <c r="C17" s="192" t="s">
        <v>24</v>
      </c>
      <c r="D17" s="193"/>
      <c r="E17" s="194"/>
      <c r="F17" s="146" t="s">
        <v>93</v>
      </c>
      <c r="G17" s="155"/>
      <c r="H17" s="156"/>
      <c r="I17" s="156"/>
      <c r="J17" s="152" t="e">
        <f>AVERAGE(G17:I17)</f>
        <v>#DIV/0!</v>
      </c>
      <c r="K17" s="153" t="s">
        <v>72</v>
      </c>
      <c r="O17" s="83"/>
    </row>
    <row r="18" spans="2:15" ht="17.25" customHeight="1" thickBot="1">
      <c r="B18" s="86"/>
      <c r="C18" s="192" t="s">
        <v>97</v>
      </c>
      <c r="D18" s="193"/>
      <c r="E18" s="194"/>
      <c r="F18" s="146" t="s">
        <v>94</v>
      </c>
      <c r="G18" s="155"/>
      <c r="H18" s="156"/>
      <c r="I18" s="156"/>
      <c r="J18" s="152">
        <f aca="true" t="shared" si="0" ref="J18:J24">SUM(G18:I18)</f>
        <v>0</v>
      </c>
      <c r="K18" s="153" t="s">
        <v>95</v>
      </c>
      <c r="O18" s="83"/>
    </row>
    <row r="19" spans="2:15" ht="17.25" customHeight="1" thickBot="1">
      <c r="B19" s="86"/>
      <c r="C19" s="185" t="s">
        <v>100</v>
      </c>
      <c r="D19" s="186"/>
      <c r="E19" s="187" t="s">
        <v>25</v>
      </c>
      <c r="F19" s="188"/>
      <c r="G19" s="155"/>
      <c r="H19" s="156"/>
      <c r="I19" s="156"/>
      <c r="J19" s="152">
        <f t="shared" si="0"/>
        <v>0</v>
      </c>
      <c r="K19" s="153" t="s">
        <v>96</v>
      </c>
      <c r="O19" s="83"/>
    </row>
    <row r="20" spans="2:15" ht="17.25" customHeight="1" thickBot="1">
      <c r="B20" s="86"/>
      <c r="C20" s="185"/>
      <c r="D20" s="186"/>
      <c r="E20" s="187" t="s">
        <v>30</v>
      </c>
      <c r="F20" s="188"/>
      <c r="G20" s="155"/>
      <c r="H20" s="156"/>
      <c r="I20" s="156"/>
      <c r="J20" s="152">
        <f t="shared" si="0"/>
        <v>0</v>
      </c>
      <c r="K20" s="153" t="s">
        <v>96</v>
      </c>
      <c r="O20" s="83"/>
    </row>
    <row r="21" spans="2:15" ht="17.25" customHeight="1" thickBot="1">
      <c r="B21" s="86"/>
      <c r="C21" s="185"/>
      <c r="D21" s="186"/>
      <c r="E21" s="227" t="s">
        <v>187</v>
      </c>
      <c r="F21" s="228"/>
      <c r="G21" s="155"/>
      <c r="H21" s="156"/>
      <c r="I21" s="156"/>
      <c r="J21" s="152">
        <f t="shared" si="0"/>
        <v>0</v>
      </c>
      <c r="K21" s="153" t="s">
        <v>188</v>
      </c>
      <c r="O21" s="83"/>
    </row>
    <row r="22" spans="2:11" ht="17.25" customHeight="1" thickBot="1">
      <c r="B22" s="86"/>
      <c r="C22" s="185"/>
      <c r="D22" s="186"/>
      <c r="E22" s="187" t="s">
        <v>31</v>
      </c>
      <c r="F22" s="188"/>
      <c r="G22" s="155"/>
      <c r="H22" s="156"/>
      <c r="I22" s="156"/>
      <c r="J22" s="152">
        <f t="shared" si="0"/>
        <v>0</v>
      </c>
      <c r="K22" s="153" t="s">
        <v>96</v>
      </c>
    </row>
    <row r="23" spans="2:11" ht="17.25" customHeight="1" thickBot="1">
      <c r="B23" s="86"/>
      <c r="C23" s="185"/>
      <c r="D23" s="186"/>
      <c r="E23" s="187" t="s">
        <v>26</v>
      </c>
      <c r="F23" s="188"/>
      <c r="G23" s="155"/>
      <c r="H23" s="156"/>
      <c r="I23" s="156"/>
      <c r="J23" s="152">
        <f t="shared" si="0"/>
        <v>0</v>
      </c>
      <c r="K23" s="153" t="s">
        <v>96</v>
      </c>
    </row>
    <row r="24" spans="2:11" ht="17.25" customHeight="1" thickBot="1">
      <c r="B24" s="86"/>
      <c r="C24" s="185"/>
      <c r="D24" s="186"/>
      <c r="E24" s="187" t="s">
        <v>27</v>
      </c>
      <c r="F24" s="188"/>
      <c r="G24" s="155"/>
      <c r="H24" s="156"/>
      <c r="I24" s="156"/>
      <c r="J24" s="152">
        <f t="shared" si="0"/>
        <v>0</v>
      </c>
      <c r="K24" s="153" t="s">
        <v>96</v>
      </c>
    </row>
    <row r="25" spans="2:13" ht="15" customHeight="1">
      <c r="B25" s="89"/>
      <c r="C25" s="90"/>
      <c r="D25" s="149" t="s">
        <v>99</v>
      </c>
      <c r="E25" s="93"/>
      <c r="F25" s="93"/>
      <c r="G25" s="93"/>
      <c r="H25" s="93"/>
      <c r="J25" s="94"/>
      <c r="K25" s="83"/>
      <c r="L25" s="84"/>
      <c r="M25" s="84"/>
    </row>
    <row r="26" spans="2:10" ht="15" customHeight="1" hidden="1">
      <c r="B26" s="86"/>
      <c r="C26" s="91"/>
      <c r="D26" s="95"/>
      <c r="E26" s="95"/>
      <c r="F26" s="95"/>
      <c r="G26" s="95"/>
      <c r="H26" s="95"/>
      <c r="I26" s="96" t="s">
        <v>0</v>
      </c>
      <c r="J26" s="97" t="e">
        <f>IF(J13=0,0,VLOOKUP(J14/100000,data1!A5:J49,10,TRUE))</f>
        <v>#DIV/0!</v>
      </c>
    </row>
    <row r="27" spans="2:13" ht="15" customHeight="1" hidden="1">
      <c r="B27" s="86"/>
      <c r="C27" s="91"/>
      <c r="D27" s="95"/>
      <c r="E27" s="95"/>
      <c r="F27" s="95"/>
      <c r="G27" s="95"/>
      <c r="H27" s="95"/>
      <c r="I27" s="96" t="s">
        <v>1</v>
      </c>
      <c r="J27" s="97" t="e">
        <f>data3!L58</f>
        <v>#DIV/0!</v>
      </c>
      <c r="M27" s="98"/>
    </row>
    <row r="28" spans="2:13" ht="15" customHeight="1" hidden="1">
      <c r="B28" s="86"/>
      <c r="C28" s="91"/>
      <c r="D28" s="95" t="s">
        <v>81</v>
      </c>
      <c r="E28" s="95"/>
      <c r="F28" s="95"/>
      <c r="G28" s="95"/>
      <c r="H28" s="95"/>
      <c r="I28" s="96" t="s">
        <v>2</v>
      </c>
      <c r="J28" s="99" t="e">
        <f>J13</f>
        <v>#DIV/0!</v>
      </c>
      <c r="M28" s="92"/>
    </row>
    <row r="29" spans="2:10" ht="15" customHeight="1" hidden="1">
      <c r="B29" s="86"/>
      <c r="C29" s="91"/>
      <c r="D29" s="95"/>
      <c r="E29" s="95"/>
      <c r="F29" s="95"/>
      <c r="G29" s="95"/>
      <c r="H29" s="95"/>
      <c r="I29" s="96" t="s">
        <v>3</v>
      </c>
      <c r="J29" s="97" t="e">
        <f>data2!C3</f>
        <v>#DIV/0!</v>
      </c>
    </row>
    <row r="30" spans="2:10" ht="15" customHeight="1" hidden="1">
      <c r="B30" s="86"/>
      <c r="C30" s="91"/>
      <c r="D30" s="95"/>
      <c r="E30" s="95"/>
      <c r="F30" s="95"/>
      <c r="G30" s="95"/>
      <c r="H30" s="95"/>
      <c r="I30" s="96" t="s">
        <v>4</v>
      </c>
      <c r="J30" s="99" t="e">
        <f>J17</f>
        <v>#DIV/0!</v>
      </c>
    </row>
    <row r="31" spans="2:13" ht="15" customHeight="1">
      <c r="B31" s="89"/>
      <c r="C31" s="90"/>
      <c r="D31" s="93"/>
      <c r="E31" s="93"/>
      <c r="F31" s="93"/>
      <c r="G31" s="93"/>
      <c r="H31" s="93"/>
      <c r="J31" s="94"/>
      <c r="K31" s="83"/>
      <c r="L31" s="84"/>
      <c r="M31" s="84"/>
    </row>
    <row r="32" spans="2:11" ht="15" customHeight="1">
      <c r="B32" s="100"/>
      <c r="C32" s="100"/>
      <c r="D32" s="101" t="s">
        <v>22</v>
      </c>
      <c r="E32" s="101"/>
      <c r="F32" s="101"/>
      <c r="G32" s="101"/>
      <c r="H32" s="101"/>
      <c r="I32" s="100"/>
      <c r="J32" s="102" t="e">
        <f>ROUND(0.25*J26+0.15*J27+0.2*J28+0.25*J29+0.15*J30,0)</f>
        <v>#DIV/0!</v>
      </c>
      <c r="K32" s="103" t="s">
        <v>72</v>
      </c>
    </row>
    <row r="33" spans="2:11" ht="15" customHeight="1">
      <c r="B33" s="104"/>
      <c r="C33" s="104"/>
      <c r="D33" s="105"/>
      <c r="E33" s="105"/>
      <c r="F33" s="105"/>
      <c r="G33" s="105"/>
      <c r="H33" s="105"/>
      <c r="I33" s="104"/>
      <c r="J33" s="106"/>
      <c r="K33" s="107"/>
    </row>
    <row r="34" spans="2:11" ht="15" customHeight="1">
      <c r="B34" s="108" t="s">
        <v>82</v>
      </c>
      <c r="C34" s="108"/>
      <c r="D34" s="109"/>
      <c r="E34" s="110"/>
      <c r="F34" s="110"/>
      <c r="G34" s="110"/>
      <c r="H34" s="110"/>
      <c r="I34" s="111"/>
      <c r="J34" s="112"/>
      <c r="K34" s="113"/>
    </row>
    <row r="35" spans="2:11" ht="30" customHeight="1">
      <c r="B35" s="111"/>
      <c r="C35" s="145" t="s">
        <v>92</v>
      </c>
      <c r="D35" s="105"/>
      <c r="E35" s="105"/>
      <c r="F35" s="105"/>
      <c r="G35" s="105"/>
      <c r="H35" s="105"/>
      <c r="I35" s="104"/>
      <c r="J35" s="106"/>
      <c r="K35" s="107"/>
    </row>
    <row r="36" spans="2:11" ht="15" customHeight="1">
      <c r="B36" s="114"/>
      <c r="C36" s="144" t="s">
        <v>90</v>
      </c>
      <c r="D36" s="116"/>
      <c r="E36" s="116"/>
      <c r="F36" s="116"/>
      <c r="G36" s="116"/>
      <c r="H36" s="116"/>
      <c r="I36" s="117"/>
      <c r="J36" s="118"/>
      <c r="K36" s="119" t="e">
        <f>ROUND(J32*0.07,0)</f>
        <v>#DIV/0!</v>
      </c>
    </row>
    <row r="37" spans="2:11" ht="15" customHeight="1">
      <c r="B37" s="109"/>
      <c r="C37" s="91"/>
      <c r="D37" s="120"/>
      <c r="E37" s="120"/>
      <c r="F37" s="120"/>
      <c r="G37" s="120"/>
      <c r="H37" s="120"/>
      <c r="I37" s="121"/>
      <c r="J37" s="122"/>
      <c r="K37" s="119"/>
    </row>
    <row r="38" spans="2:11" ht="15" customHeight="1" thickBot="1">
      <c r="B38" s="114"/>
      <c r="C38" s="123" t="s">
        <v>73</v>
      </c>
      <c r="D38" s="116"/>
      <c r="E38" s="116"/>
      <c r="F38" s="116"/>
      <c r="G38" s="116"/>
      <c r="H38" s="116"/>
      <c r="I38" s="117"/>
      <c r="J38" s="124"/>
      <c r="K38" s="119"/>
    </row>
    <row r="39" spans="2:11" ht="30" customHeight="1" thickBot="1">
      <c r="B39" s="114"/>
      <c r="C39" s="125"/>
      <c r="D39" s="165" t="s">
        <v>176</v>
      </c>
      <c r="E39" s="165"/>
      <c r="F39" s="165"/>
      <c r="G39" s="165"/>
      <c r="H39" s="165"/>
      <c r="I39" s="165"/>
      <c r="J39" s="155"/>
      <c r="K39" s="119">
        <f>+data5!B5</f>
        <v>0</v>
      </c>
    </row>
    <row r="40" spans="2:11" ht="30" customHeight="1">
      <c r="B40" s="114"/>
      <c r="C40" s="125"/>
      <c r="D40" s="196" t="s">
        <v>89</v>
      </c>
      <c r="E40" s="196"/>
      <c r="F40" s="196"/>
      <c r="G40" s="196"/>
      <c r="H40" s="196"/>
      <c r="I40" s="196"/>
      <c r="J40" s="154"/>
      <c r="K40" s="119"/>
    </row>
    <row r="41" spans="2:11" ht="15" customHeight="1">
      <c r="B41" s="114"/>
      <c r="C41" s="126"/>
      <c r="D41" s="120"/>
      <c r="E41" s="120"/>
      <c r="F41" s="120"/>
      <c r="G41" s="120"/>
      <c r="H41" s="120"/>
      <c r="I41" s="127"/>
      <c r="J41" s="122"/>
      <c r="K41" s="119"/>
    </row>
    <row r="42" spans="2:11" ht="15" customHeight="1" thickBot="1">
      <c r="B42" s="114"/>
      <c r="C42" s="123" t="s">
        <v>56</v>
      </c>
      <c r="D42" s="115"/>
      <c r="E42" s="115"/>
      <c r="F42" s="115"/>
      <c r="G42" s="115"/>
      <c r="H42" s="115"/>
      <c r="I42" s="115"/>
      <c r="J42" s="124"/>
      <c r="K42" s="119"/>
    </row>
    <row r="43" spans="2:11" ht="30" customHeight="1" thickBot="1">
      <c r="B43" s="114"/>
      <c r="C43" s="115"/>
      <c r="D43" s="166" t="s">
        <v>88</v>
      </c>
      <c r="E43" s="166"/>
      <c r="F43" s="166"/>
      <c r="G43" s="166"/>
      <c r="H43" s="166"/>
      <c r="I43" s="166"/>
      <c r="J43" s="155"/>
      <c r="K43" s="119">
        <f>IF(J43=1,5,0)</f>
        <v>0</v>
      </c>
    </row>
    <row r="44" spans="2:11" ht="15" customHeight="1">
      <c r="B44" s="114"/>
      <c r="C44" s="126"/>
      <c r="D44" s="120"/>
      <c r="E44" s="120"/>
      <c r="F44" s="120"/>
      <c r="G44" s="120"/>
      <c r="H44" s="120"/>
      <c r="I44" s="127"/>
      <c r="J44" s="122"/>
      <c r="K44" s="119"/>
    </row>
    <row r="45" spans="2:11" ht="15" customHeight="1" thickBot="1">
      <c r="B45" s="114"/>
      <c r="C45" s="123" t="s">
        <v>74</v>
      </c>
      <c r="D45" s="128"/>
      <c r="E45" s="128"/>
      <c r="F45" s="128"/>
      <c r="G45" s="128"/>
      <c r="H45" s="128"/>
      <c r="I45" s="117"/>
      <c r="J45" s="124"/>
      <c r="K45" s="119"/>
    </row>
    <row r="46" spans="2:11" ht="30" customHeight="1" thickBot="1">
      <c r="B46" s="114"/>
      <c r="C46" s="125"/>
      <c r="D46" s="165" t="s">
        <v>177</v>
      </c>
      <c r="E46" s="165"/>
      <c r="F46" s="165"/>
      <c r="G46" s="165"/>
      <c r="H46" s="165"/>
      <c r="I46" s="165"/>
      <c r="J46" s="155"/>
      <c r="K46" s="119">
        <f>J46*20</f>
        <v>0</v>
      </c>
    </row>
    <row r="47" spans="2:11" ht="42" customHeight="1">
      <c r="B47" s="114"/>
      <c r="C47" s="125"/>
      <c r="D47" s="196" t="s">
        <v>178</v>
      </c>
      <c r="E47" s="196"/>
      <c r="F47" s="196"/>
      <c r="G47" s="196"/>
      <c r="H47" s="196"/>
      <c r="I47" s="196"/>
      <c r="J47" s="154"/>
      <c r="K47" s="119"/>
    </row>
    <row r="48" spans="2:11" ht="39" customHeight="1">
      <c r="B48" s="114"/>
      <c r="C48" s="125"/>
      <c r="D48" s="171" t="s">
        <v>173</v>
      </c>
      <c r="E48" s="171"/>
      <c r="F48" s="171"/>
      <c r="G48" s="171"/>
      <c r="H48" s="171"/>
      <c r="I48" s="171"/>
      <c r="J48" s="171"/>
      <c r="K48" s="129"/>
    </row>
    <row r="49" spans="2:11" ht="15" customHeight="1">
      <c r="B49" s="114"/>
      <c r="C49" s="126"/>
      <c r="D49" s="120"/>
      <c r="E49" s="120"/>
      <c r="F49" s="120"/>
      <c r="G49" s="120"/>
      <c r="H49" s="120"/>
      <c r="J49" s="122"/>
      <c r="K49" s="129"/>
    </row>
    <row r="50" spans="2:11" ht="15" customHeight="1">
      <c r="B50" s="114"/>
      <c r="C50" s="130" t="s">
        <v>101</v>
      </c>
      <c r="D50" s="131"/>
      <c r="E50" s="131"/>
      <c r="F50" s="131"/>
      <c r="G50" s="131"/>
      <c r="H50" s="131"/>
      <c r="I50" s="132"/>
      <c r="J50" s="133"/>
      <c r="K50" s="129"/>
    </row>
    <row r="51" spans="2:11" ht="15" customHeight="1">
      <c r="B51" s="114"/>
      <c r="C51" s="134"/>
      <c r="D51" s="182" t="s">
        <v>75</v>
      </c>
      <c r="E51" s="177" t="s">
        <v>179</v>
      </c>
      <c r="F51" s="177"/>
      <c r="G51" s="177"/>
      <c r="H51" s="177"/>
      <c r="I51" s="177"/>
      <c r="J51" s="177"/>
      <c r="K51" s="135"/>
    </row>
    <row r="52" spans="2:11" ht="15" customHeight="1">
      <c r="B52" s="114"/>
      <c r="C52" s="134"/>
      <c r="D52" s="182"/>
      <c r="E52" s="177"/>
      <c r="F52" s="177"/>
      <c r="G52" s="177"/>
      <c r="H52" s="177"/>
      <c r="I52" s="177"/>
      <c r="J52" s="177"/>
      <c r="K52" s="135"/>
    </row>
    <row r="53" spans="2:11" ht="15" customHeight="1" thickBot="1">
      <c r="B53" s="114"/>
      <c r="C53" s="134"/>
      <c r="D53" s="182"/>
      <c r="E53" s="177"/>
      <c r="F53" s="177"/>
      <c r="G53" s="177"/>
      <c r="H53" s="177"/>
      <c r="I53" s="177"/>
      <c r="J53" s="177"/>
      <c r="K53" s="135"/>
    </row>
    <row r="54" spans="2:11" ht="15" customHeight="1" thickBot="1">
      <c r="B54" s="114"/>
      <c r="C54" s="134"/>
      <c r="D54" s="182"/>
      <c r="E54" s="167" t="s">
        <v>180</v>
      </c>
      <c r="F54" s="184"/>
      <c r="G54" s="169" t="s">
        <v>164</v>
      </c>
      <c r="H54" s="169"/>
      <c r="I54" s="170"/>
      <c r="J54" s="155"/>
      <c r="K54" s="119">
        <f>IF(J54=1,10,0)</f>
        <v>0</v>
      </c>
    </row>
    <row r="55" spans="2:11" ht="15" customHeight="1" thickBot="1">
      <c r="B55" s="114"/>
      <c r="C55" s="134"/>
      <c r="D55" s="182"/>
      <c r="E55" s="184"/>
      <c r="F55" s="184"/>
      <c r="G55" s="169" t="s">
        <v>165</v>
      </c>
      <c r="H55" s="169"/>
      <c r="I55" s="170"/>
      <c r="J55" s="155"/>
      <c r="K55" s="119">
        <f>IF(J54=0,IF(J55=1,5,0),0)</f>
        <v>0</v>
      </c>
    </row>
    <row r="56" spans="2:11" ht="15" customHeight="1" thickBot="1">
      <c r="B56" s="114"/>
      <c r="C56" s="134"/>
      <c r="D56" s="182"/>
      <c r="E56" s="167" t="s">
        <v>181</v>
      </c>
      <c r="F56" s="168"/>
      <c r="G56" s="169" t="s">
        <v>166</v>
      </c>
      <c r="H56" s="169"/>
      <c r="I56" s="170"/>
      <c r="J56" s="155"/>
      <c r="K56" s="119">
        <f>IF(J56=1,10,0)</f>
        <v>0</v>
      </c>
    </row>
    <row r="57" spans="2:11" ht="15" customHeight="1" thickBot="1">
      <c r="B57" s="114"/>
      <c r="C57" s="134"/>
      <c r="D57" s="183"/>
      <c r="E57" s="168"/>
      <c r="F57" s="168"/>
      <c r="G57" s="169" t="s">
        <v>165</v>
      </c>
      <c r="H57" s="169"/>
      <c r="I57" s="170"/>
      <c r="J57" s="155"/>
      <c r="K57" s="119">
        <f>IF(J56=0,IF(J57=1,5,0),0)</f>
        <v>0</v>
      </c>
    </row>
    <row r="58" spans="2:11" ht="15" customHeight="1">
      <c r="B58" s="114"/>
      <c r="C58" s="134"/>
      <c r="D58" s="195" t="s">
        <v>76</v>
      </c>
      <c r="E58" s="177" t="s">
        <v>182</v>
      </c>
      <c r="F58" s="177"/>
      <c r="G58" s="177"/>
      <c r="H58" s="177"/>
      <c r="I58" s="177"/>
      <c r="J58" s="177"/>
      <c r="K58" s="119"/>
    </row>
    <row r="59" spans="2:11" ht="15" customHeight="1" thickBot="1">
      <c r="B59" s="114"/>
      <c r="C59" s="134"/>
      <c r="D59" s="182"/>
      <c r="E59" s="177"/>
      <c r="F59" s="177"/>
      <c r="G59" s="177"/>
      <c r="H59" s="177"/>
      <c r="I59" s="177"/>
      <c r="J59" s="177"/>
      <c r="K59" s="119"/>
    </row>
    <row r="60" spans="2:11" ht="15" customHeight="1" thickBot="1">
      <c r="B60" s="114"/>
      <c r="C60" s="134"/>
      <c r="D60" s="182"/>
      <c r="E60" s="169" t="s">
        <v>183</v>
      </c>
      <c r="F60" s="169"/>
      <c r="G60" s="169" t="s">
        <v>164</v>
      </c>
      <c r="H60" s="169"/>
      <c r="I60" s="170"/>
      <c r="J60" s="155"/>
      <c r="K60" s="119">
        <f>IF(J60=1,20,0)</f>
        <v>0</v>
      </c>
    </row>
    <row r="61" spans="2:11" ht="15" customHeight="1" thickBot="1">
      <c r="B61" s="114"/>
      <c r="C61" s="134"/>
      <c r="D61" s="182"/>
      <c r="E61" s="169"/>
      <c r="F61" s="169"/>
      <c r="G61" s="169" t="s">
        <v>165</v>
      </c>
      <c r="H61" s="169"/>
      <c r="I61" s="170"/>
      <c r="J61" s="155"/>
      <c r="K61" s="119">
        <f>IF(J60=0,IF(J61=1,5,0),0)</f>
        <v>0</v>
      </c>
    </row>
    <row r="62" spans="2:11" ht="15" customHeight="1" thickBot="1">
      <c r="B62" s="114"/>
      <c r="C62" s="134"/>
      <c r="D62" s="182"/>
      <c r="E62" s="169" t="s">
        <v>184</v>
      </c>
      <c r="F62" s="169"/>
      <c r="G62" s="169" t="s">
        <v>166</v>
      </c>
      <c r="H62" s="169"/>
      <c r="I62" s="170"/>
      <c r="J62" s="155"/>
      <c r="K62" s="119">
        <f>IF(J62=1,20,0)</f>
        <v>0</v>
      </c>
    </row>
    <row r="63" spans="2:11" ht="15" customHeight="1" thickBot="1">
      <c r="B63" s="114"/>
      <c r="C63" s="134"/>
      <c r="D63" s="183"/>
      <c r="E63" s="169"/>
      <c r="F63" s="169"/>
      <c r="G63" s="169" t="s">
        <v>165</v>
      </c>
      <c r="H63" s="169"/>
      <c r="I63" s="170"/>
      <c r="J63" s="155"/>
      <c r="K63" s="119">
        <f>IF(J62=0,IF(J63=1,5,0),0)</f>
        <v>0</v>
      </c>
    </row>
    <row r="64" spans="2:11" ht="15" customHeight="1">
      <c r="B64" s="114"/>
      <c r="C64" s="134"/>
      <c r="D64" s="197" t="s">
        <v>167</v>
      </c>
      <c r="E64" s="197"/>
      <c r="F64" s="197"/>
      <c r="G64" s="197"/>
      <c r="H64" s="197"/>
      <c r="I64" s="197"/>
      <c r="J64" s="197"/>
      <c r="K64" s="129"/>
    </row>
    <row r="65" spans="2:11" ht="15" customHeight="1">
      <c r="B65" s="114"/>
      <c r="C65" s="126"/>
      <c r="D65" s="136"/>
      <c r="E65" s="136"/>
      <c r="F65" s="136"/>
      <c r="G65" s="136"/>
      <c r="H65" s="136"/>
      <c r="I65" s="136"/>
      <c r="J65" s="136"/>
      <c r="K65" s="129"/>
    </row>
    <row r="66" spans="2:11" ht="15" customHeight="1" thickBot="1">
      <c r="B66" s="114"/>
      <c r="C66" s="123" t="s">
        <v>83</v>
      </c>
      <c r="D66" s="115"/>
      <c r="E66" s="115"/>
      <c r="F66" s="115"/>
      <c r="G66" s="115"/>
      <c r="H66" s="115"/>
      <c r="I66" s="115"/>
      <c r="J66" s="124"/>
      <c r="K66" s="129"/>
    </row>
    <row r="67" spans="2:11" ht="30" customHeight="1" thickBot="1">
      <c r="B67" s="114"/>
      <c r="C67" s="115"/>
      <c r="D67" s="177" t="s">
        <v>87</v>
      </c>
      <c r="E67" s="177"/>
      <c r="F67" s="177"/>
      <c r="G67" s="177"/>
      <c r="H67" s="177"/>
      <c r="I67" s="178"/>
      <c r="J67" s="155"/>
      <c r="K67" s="119">
        <f>IF(J67=1,10,0)</f>
        <v>0</v>
      </c>
    </row>
    <row r="68" spans="2:11" ht="30" customHeight="1">
      <c r="B68" s="114"/>
      <c r="C68" s="115"/>
      <c r="D68" s="198" t="s">
        <v>185</v>
      </c>
      <c r="E68" s="198"/>
      <c r="F68" s="198"/>
      <c r="G68" s="198"/>
      <c r="H68" s="198"/>
      <c r="I68" s="198"/>
      <c r="J68" s="198"/>
      <c r="K68" s="119"/>
    </row>
    <row r="69" spans="2:11" ht="15" customHeight="1">
      <c r="B69" s="114"/>
      <c r="C69" s="91"/>
      <c r="D69" s="137"/>
      <c r="E69" s="137"/>
      <c r="F69" s="137"/>
      <c r="G69" s="137"/>
      <c r="H69" s="137"/>
      <c r="I69" s="137"/>
      <c r="J69" s="122"/>
      <c r="K69" s="119"/>
    </row>
    <row r="70" spans="2:11" ht="15" customHeight="1" thickBot="1">
      <c r="B70" s="114"/>
      <c r="C70" s="164" t="s">
        <v>156</v>
      </c>
      <c r="D70" s="115"/>
      <c r="E70" s="115"/>
      <c r="F70" s="115"/>
      <c r="G70" s="115"/>
      <c r="H70" s="115"/>
      <c r="I70" s="115"/>
      <c r="J70" s="124"/>
      <c r="K70" s="119"/>
    </row>
    <row r="71" spans="2:11" ht="30" customHeight="1" thickBot="1">
      <c r="B71" s="114"/>
      <c r="C71" s="115"/>
      <c r="D71" s="200" t="s">
        <v>159</v>
      </c>
      <c r="E71" s="200"/>
      <c r="F71" s="200"/>
      <c r="G71" s="200"/>
      <c r="H71" s="200"/>
      <c r="I71" s="201"/>
      <c r="J71" s="155"/>
      <c r="K71" s="119">
        <f>IF(J71=1,5,0)</f>
        <v>0</v>
      </c>
    </row>
    <row r="72" spans="2:11" ht="39.75" customHeight="1">
      <c r="B72" s="114"/>
      <c r="C72" s="115"/>
      <c r="D72" s="199" t="s">
        <v>172</v>
      </c>
      <c r="E72" s="202"/>
      <c r="F72" s="202"/>
      <c r="G72" s="202"/>
      <c r="H72" s="202"/>
      <c r="I72" s="202"/>
      <c r="J72" s="157"/>
      <c r="K72" s="119"/>
    </row>
    <row r="73" spans="2:11" ht="15" customHeight="1">
      <c r="B73" s="114"/>
      <c r="C73" s="91"/>
      <c r="D73" s="138"/>
      <c r="E73" s="138"/>
      <c r="F73" s="138"/>
      <c r="G73" s="138"/>
      <c r="H73" s="138"/>
      <c r="I73" s="138"/>
      <c r="J73" s="122"/>
      <c r="K73" s="119"/>
    </row>
    <row r="74" spans="2:11" ht="15" customHeight="1" thickBot="1">
      <c r="B74" s="114"/>
      <c r="C74" s="123" t="s">
        <v>84</v>
      </c>
      <c r="D74" s="115"/>
      <c r="E74" s="115"/>
      <c r="F74" s="115"/>
      <c r="G74" s="115"/>
      <c r="H74" s="115"/>
      <c r="I74" s="115"/>
      <c r="J74" s="124"/>
      <c r="K74" s="119"/>
    </row>
    <row r="75" spans="2:11" ht="30" customHeight="1" thickBot="1">
      <c r="B75" s="114"/>
      <c r="C75" s="115"/>
      <c r="D75" s="177" t="s">
        <v>86</v>
      </c>
      <c r="E75" s="177"/>
      <c r="F75" s="177"/>
      <c r="G75" s="177"/>
      <c r="H75" s="177"/>
      <c r="I75" s="178"/>
      <c r="J75" s="155"/>
      <c r="K75" s="119">
        <f>IF(J75=1,5,0)</f>
        <v>0</v>
      </c>
    </row>
    <row r="76" spans="2:11" ht="15" customHeight="1">
      <c r="B76" s="114"/>
      <c r="C76" s="91"/>
      <c r="D76" s="138"/>
      <c r="E76" s="138"/>
      <c r="F76" s="138"/>
      <c r="G76" s="138"/>
      <c r="H76" s="138"/>
      <c r="I76" s="138"/>
      <c r="J76" s="122"/>
      <c r="K76" s="119"/>
    </row>
    <row r="77" spans="2:11" ht="15" customHeight="1" thickBot="1">
      <c r="B77" s="114"/>
      <c r="C77" s="123" t="s">
        <v>85</v>
      </c>
      <c r="D77" s="115"/>
      <c r="E77" s="115"/>
      <c r="F77" s="115"/>
      <c r="G77" s="115"/>
      <c r="H77" s="115"/>
      <c r="I77" s="115"/>
      <c r="J77" s="124"/>
      <c r="K77" s="119"/>
    </row>
    <row r="78" spans="2:11" ht="30" customHeight="1" thickBot="1">
      <c r="B78" s="114"/>
      <c r="C78" s="115"/>
      <c r="D78" s="200" t="s">
        <v>174</v>
      </c>
      <c r="E78" s="200"/>
      <c r="F78" s="200"/>
      <c r="G78" s="200"/>
      <c r="H78" s="200"/>
      <c r="I78" s="200"/>
      <c r="J78" s="155"/>
      <c r="K78" s="119">
        <f>IF(J78=1,5,0)</f>
        <v>0</v>
      </c>
    </row>
    <row r="79" spans="2:11" ht="64.5" customHeight="1">
      <c r="B79" s="114"/>
      <c r="C79" s="115"/>
      <c r="D79" s="200"/>
      <c r="E79" s="200"/>
      <c r="F79" s="200"/>
      <c r="G79" s="200"/>
      <c r="H79" s="200"/>
      <c r="I79" s="200"/>
      <c r="J79" s="122"/>
      <c r="K79" s="129"/>
    </row>
    <row r="80" spans="2:11" ht="15" customHeight="1">
      <c r="B80" s="114"/>
      <c r="C80" s="91"/>
      <c r="D80" s="138"/>
      <c r="E80" s="138"/>
      <c r="F80" s="138"/>
      <c r="G80" s="138"/>
      <c r="H80" s="138"/>
      <c r="I80" s="138"/>
      <c r="J80" s="122"/>
      <c r="K80" s="119"/>
    </row>
    <row r="81" spans="2:11" ht="15" customHeight="1" thickBot="1">
      <c r="B81" s="114"/>
      <c r="C81" s="123" t="s">
        <v>157</v>
      </c>
      <c r="D81" s="115"/>
      <c r="E81" s="115"/>
      <c r="F81" s="115"/>
      <c r="G81" s="115"/>
      <c r="H81" s="115"/>
      <c r="I81" s="115"/>
      <c r="J81" s="124"/>
      <c r="K81" s="119"/>
    </row>
    <row r="82" spans="2:11" ht="30" customHeight="1" thickBot="1">
      <c r="B82" s="114"/>
      <c r="C82" s="115"/>
      <c r="D82" s="177" t="s">
        <v>186</v>
      </c>
      <c r="E82" s="177"/>
      <c r="F82" s="177"/>
      <c r="G82" s="177"/>
      <c r="H82" s="177"/>
      <c r="I82" s="178"/>
      <c r="J82" s="155"/>
      <c r="K82" s="119">
        <f>IF(J82=1,5,0)</f>
        <v>0</v>
      </c>
    </row>
    <row r="83" spans="2:11" ht="40.5" customHeight="1">
      <c r="B83" s="114"/>
      <c r="C83" s="115"/>
      <c r="D83" s="199" t="s">
        <v>158</v>
      </c>
      <c r="E83" s="199"/>
      <c r="F83" s="199"/>
      <c r="G83" s="199"/>
      <c r="H83" s="199"/>
      <c r="I83" s="199"/>
      <c r="J83" s="122"/>
      <c r="K83" s="129"/>
    </row>
    <row r="84" spans="2:11" ht="15" customHeight="1">
      <c r="B84" s="111"/>
      <c r="C84" s="91"/>
      <c r="E84" s="138"/>
      <c r="F84" s="138"/>
      <c r="G84" s="138"/>
      <c r="H84" s="138"/>
      <c r="I84" s="138"/>
      <c r="J84" s="139"/>
      <c r="K84" s="107"/>
    </row>
    <row r="85" spans="2:11" ht="15" customHeight="1">
      <c r="B85" s="111"/>
      <c r="C85" s="111" t="s">
        <v>57</v>
      </c>
      <c r="D85" s="109"/>
      <c r="E85" s="111"/>
      <c r="F85" s="111"/>
      <c r="G85" s="111"/>
      <c r="H85" s="111"/>
      <c r="I85" s="111"/>
      <c r="J85" s="140" t="e">
        <f>SUM(K36,K39,K43,K46,K54:K57,K60:K63,K67,K71,K75,K78,K82)</f>
        <v>#DIV/0!</v>
      </c>
      <c r="K85" s="113" t="s">
        <v>72</v>
      </c>
    </row>
    <row r="86" spans="2:11" ht="15" customHeight="1" thickBot="1">
      <c r="B86" s="104"/>
      <c r="C86" s="104"/>
      <c r="D86" s="104"/>
      <c r="E86" s="104"/>
      <c r="F86" s="104"/>
      <c r="G86" s="104"/>
      <c r="H86" s="104"/>
      <c r="I86" s="104"/>
      <c r="J86" s="141"/>
      <c r="K86" s="107"/>
    </row>
    <row r="87" spans="2:11" ht="15" customHeight="1">
      <c r="B87" s="206" t="s">
        <v>77</v>
      </c>
      <c r="C87" s="207"/>
      <c r="D87" s="207"/>
      <c r="E87" s="207"/>
      <c r="F87" s="207"/>
      <c r="G87" s="207"/>
      <c r="H87" s="207"/>
      <c r="I87" s="207"/>
      <c r="J87" s="210" t="e">
        <f>SUM(J32,J85)</f>
        <v>#DIV/0!</v>
      </c>
      <c r="K87" s="212" t="s">
        <v>78</v>
      </c>
    </row>
    <row r="88" spans="2:11" ht="15" customHeight="1" thickBot="1">
      <c r="B88" s="208"/>
      <c r="C88" s="209"/>
      <c r="D88" s="209"/>
      <c r="E88" s="209"/>
      <c r="F88" s="209"/>
      <c r="G88" s="209"/>
      <c r="H88" s="209"/>
      <c r="I88" s="209"/>
      <c r="J88" s="211"/>
      <c r="K88" s="213"/>
    </row>
    <row r="89" spans="2:11" ht="15" customHeight="1">
      <c r="B89" s="104"/>
      <c r="C89" s="104"/>
      <c r="D89" s="142"/>
      <c r="E89" s="142"/>
      <c r="F89" s="142"/>
      <c r="G89" s="142"/>
      <c r="H89" s="142"/>
      <c r="I89" s="104"/>
      <c r="J89" s="143"/>
      <c r="K89" s="107"/>
    </row>
    <row r="90" spans="2:11" ht="18" customHeight="1">
      <c r="B90" s="204" t="s">
        <v>163</v>
      </c>
      <c r="C90" s="204"/>
      <c r="D90" s="204"/>
      <c r="E90" s="204"/>
      <c r="F90" s="204"/>
      <c r="G90" s="204"/>
      <c r="H90" s="204"/>
      <c r="I90" s="204"/>
      <c r="J90" s="204"/>
      <c r="K90" s="204"/>
    </row>
    <row r="91" spans="2:11" ht="18" customHeight="1">
      <c r="B91" s="204"/>
      <c r="C91" s="204"/>
      <c r="D91" s="204"/>
      <c r="E91" s="204"/>
      <c r="F91" s="204"/>
      <c r="G91" s="204"/>
      <c r="H91" s="204"/>
      <c r="I91" s="204"/>
      <c r="J91" s="204"/>
      <c r="K91" s="204"/>
    </row>
    <row r="92" spans="2:11" ht="18" customHeight="1">
      <c r="B92" s="204"/>
      <c r="C92" s="204"/>
      <c r="D92" s="204"/>
      <c r="E92" s="204"/>
      <c r="F92" s="204"/>
      <c r="G92" s="204"/>
      <c r="H92" s="204"/>
      <c r="I92" s="204"/>
      <c r="J92" s="204"/>
      <c r="K92" s="204"/>
    </row>
    <row r="93" spans="2:11" ht="18" customHeight="1">
      <c r="B93" s="204"/>
      <c r="C93" s="204"/>
      <c r="D93" s="204"/>
      <c r="E93" s="204"/>
      <c r="F93" s="204"/>
      <c r="G93" s="204"/>
      <c r="H93" s="204"/>
      <c r="I93" s="204"/>
      <c r="J93" s="204"/>
      <c r="K93" s="204"/>
    </row>
    <row r="94" spans="2:11" ht="18" customHeight="1">
      <c r="B94" s="204"/>
      <c r="C94" s="204"/>
      <c r="D94" s="204"/>
      <c r="E94" s="204"/>
      <c r="F94" s="204"/>
      <c r="G94" s="204"/>
      <c r="H94" s="204"/>
      <c r="I94" s="204"/>
      <c r="J94" s="204"/>
      <c r="K94" s="204"/>
    </row>
    <row r="95" spans="2:11" ht="18" customHeight="1">
      <c r="B95" s="204"/>
      <c r="C95" s="204"/>
      <c r="D95" s="204"/>
      <c r="E95" s="204"/>
      <c r="F95" s="204"/>
      <c r="G95" s="204"/>
      <c r="H95" s="204"/>
      <c r="I95" s="204"/>
      <c r="J95" s="204"/>
      <c r="K95" s="204"/>
    </row>
    <row r="96" spans="2:11" ht="18" customHeight="1">
      <c r="B96" s="204"/>
      <c r="C96" s="204"/>
      <c r="D96" s="204"/>
      <c r="E96" s="204"/>
      <c r="F96" s="204"/>
      <c r="G96" s="204"/>
      <c r="H96" s="204"/>
      <c r="I96" s="204"/>
      <c r="J96" s="204"/>
      <c r="K96" s="204"/>
    </row>
    <row r="97" spans="2:11" ht="18" customHeight="1">
      <c r="B97" s="204"/>
      <c r="C97" s="204"/>
      <c r="D97" s="204"/>
      <c r="E97" s="204"/>
      <c r="F97" s="204"/>
      <c r="G97" s="204"/>
      <c r="H97" s="204"/>
      <c r="I97" s="204"/>
      <c r="J97" s="204"/>
      <c r="K97" s="204"/>
    </row>
    <row r="98" spans="2:11" ht="18" customHeight="1">
      <c r="B98" s="204"/>
      <c r="C98" s="204"/>
      <c r="D98" s="204"/>
      <c r="E98" s="204"/>
      <c r="F98" s="204"/>
      <c r="G98" s="204"/>
      <c r="H98" s="204"/>
      <c r="I98" s="204"/>
      <c r="J98" s="204"/>
      <c r="K98" s="204"/>
    </row>
    <row r="99" spans="2:11" ht="31.5" customHeight="1">
      <c r="B99" s="204"/>
      <c r="C99" s="204"/>
      <c r="D99" s="204"/>
      <c r="E99" s="204"/>
      <c r="F99" s="204"/>
      <c r="G99" s="204"/>
      <c r="H99" s="204"/>
      <c r="I99" s="204"/>
      <c r="J99" s="204"/>
      <c r="K99" s="204"/>
    </row>
    <row r="100" spans="2:11" ht="26.25" customHeight="1">
      <c r="B100" s="224" t="s">
        <v>162</v>
      </c>
      <c r="C100" s="224"/>
      <c r="D100" s="224"/>
      <c r="E100" s="224"/>
      <c r="F100" s="224"/>
      <c r="G100" s="224"/>
      <c r="H100" s="224"/>
      <c r="I100" s="224"/>
      <c r="J100" s="224"/>
      <c r="K100" s="224"/>
    </row>
    <row r="101" spans="2:10" s="159" customFormat="1" ht="18" customHeight="1">
      <c r="B101" s="158" t="s">
        <v>102</v>
      </c>
      <c r="C101" s="158"/>
      <c r="D101" s="158"/>
      <c r="E101" s="158"/>
      <c r="F101" s="158"/>
      <c r="G101" s="158"/>
      <c r="H101" s="158"/>
      <c r="I101" s="158"/>
      <c r="J101" s="158"/>
    </row>
    <row r="102" spans="2:10" s="159" customFormat="1" ht="18" customHeight="1">
      <c r="B102" s="205" t="s">
        <v>103</v>
      </c>
      <c r="C102" s="205"/>
      <c r="D102" s="205"/>
      <c r="E102" s="205" t="s">
        <v>104</v>
      </c>
      <c r="F102" s="205"/>
      <c r="G102" s="205" t="s">
        <v>105</v>
      </c>
      <c r="H102" s="205"/>
      <c r="I102" s="205" t="s">
        <v>106</v>
      </c>
      <c r="J102" s="205"/>
    </row>
    <row r="103" spans="2:10" s="159" customFormat="1" ht="18" customHeight="1">
      <c r="B103" s="205"/>
      <c r="C103" s="205"/>
      <c r="D103" s="205"/>
      <c r="E103" s="160" t="s">
        <v>107</v>
      </c>
      <c r="F103" s="160" t="s">
        <v>108</v>
      </c>
      <c r="G103" s="205"/>
      <c r="H103" s="205"/>
      <c r="I103" s="205"/>
      <c r="J103" s="205"/>
    </row>
    <row r="104" spans="2:10" s="159" customFormat="1" ht="18" customHeight="1">
      <c r="B104" s="172" t="s">
        <v>109</v>
      </c>
      <c r="C104" s="172"/>
      <c r="D104" s="172"/>
      <c r="E104" s="162" t="s">
        <v>110</v>
      </c>
      <c r="F104" s="163" t="s">
        <v>111</v>
      </c>
      <c r="G104" s="174" t="s">
        <v>112</v>
      </c>
      <c r="H104" s="174"/>
      <c r="I104" s="179" t="s">
        <v>113</v>
      </c>
      <c r="J104" s="179"/>
    </row>
    <row r="105" spans="2:10" s="159" customFormat="1" ht="18" customHeight="1">
      <c r="B105" s="172" t="s">
        <v>114</v>
      </c>
      <c r="C105" s="172"/>
      <c r="D105" s="172"/>
      <c r="E105" s="162" t="s">
        <v>115</v>
      </c>
      <c r="F105" s="163" t="s">
        <v>116</v>
      </c>
      <c r="G105" s="174" t="s">
        <v>117</v>
      </c>
      <c r="H105" s="174"/>
      <c r="I105" s="179" t="s">
        <v>118</v>
      </c>
      <c r="J105" s="179"/>
    </row>
    <row r="106" spans="2:10" s="159" customFormat="1" ht="18" customHeight="1">
      <c r="B106" s="172" t="s">
        <v>119</v>
      </c>
      <c r="C106" s="172"/>
      <c r="D106" s="172"/>
      <c r="E106" s="173" t="s">
        <v>120</v>
      </c>
      <c r="F106" s="173"/>
      <c r="G106" s="174" t="s">
        <v>121</v>
      </c>
      <c r="H106" s="174"/>
      <c r="I106" s="175"/>
      <c r="J106" s="176"/>
    </row>
    <row r="107" spans="2:10" s="159" customFormat="1" ht="18" customHeight="1">
      <c r="B107" s="172" t="s">
        <v>122</v>
      </c>
      <c r="C107" s="172"/>
      <c r="D107" s="172"/>
      <c r="E107" s="173" t="s">
        <v>120</v>
      </c>
      <c r="F107" s="173"/>
      <c r="G107" s="174" t="s">
        <v>123</v>
      </c>
      <c r="H107" s="174"/>
      <c r="I107" s="179" t="s">
        <v>113</v>
      </c>
      <c r="J107" s="179"/>
    </row>
    <row r="108" spans="2:10" s="159" customFormat="1" ht="18" customHeight="1">
      <c r="B108" s="172" t="s">
        <v>124</v>
      </c>
      <c r="C108" s="172"/>
      <c r="D108" s="172"/>
      <c r="E108" s="173" t="s">
        <v>148</v>
      </c>
      <c r="F108" s="173"/>
      <c r="G108" s="174" t="s">
        <v>125</v>
      </c>
      <c r="H108" s="174"/>
      <c r="I108" s="179" t="s">
        <v>118</v>
      </c>
      <c r="J108" s="179"/>
    </row>
    <row r="109" spans="2:10" s="159" customFormat="1" ht="18" customHeight="1">
      <c r="B109" s="172" t="s">
        <v>126</v>
      </c>
      <c r="C109" s="172"/>
      <c r="D109" s="172"/>
      <c r="E109" s="173" t="s">
        <v>127</v>
      </c>
      <c r="F109" s="173"/>
      <c r="G109" s="174" t="s">
        <v>112</v>
      </c>
      <c r="H109" s="174"/>
      <c r="I109" s="179" t="s">
        <v>113</v>
      </c>
      <c r="J109" s="179"/>
    </row>
    <row r="110" spans="2:10" s="159" customFormat="1" ht="18" customHeight="1">
      <c r="B110" s="172" t="s">
        <v>128</v>
      </c>
      <c r="C110" s="172"/>
      <c r="D110" s="172"/>
      <c r="E110" s="173" t="s">
        <v>129</v>
      </c>
      <c r="F110" s="173"/>
      <c r="G110" s="174" t="s">
        <v>130</v>
      </c>
      <c r="H110" s="174"/>
      <c r="I110" s="214"/>
      <c r="J110" s="214"/>
    </row>
    <row r="111" spans="2:10" s="159" customFormat="1" ht="18" customHeight="1">
      <c r="B111" s="158" t="s">
        <v>131</v>
      </c>
      <c r="C111" s="158"/>
      <c r="D111" s="158"/>
      <c r="E111" s="158"/>
      <c r="F111" s="158"/>
      <c r="G111" s="158"/>
      <c r="H111" s="158"/>
      <c r="I111" s="158"/>
      <c r="J111" s="158"/>
    </row>
    <row r="112" spans="2:10" s="159" customFormat="1" ht="18" customHeight="1">
      <c r="B112" s="216" t="s">
        <v>132</v>
      </c>
      <c r="C112" s="216"/>
      <c r="D112" s="161" t="s">
        <v>133</v>
      </c>
      <c r="E112" s="161" t="s">
        <v>114</v>
      </c>
      <c r="F112" s="161" t="s">
        <v>134</v>
      </c>
      <c r="G112" s="161" t="s">
        <v>135</v>
      </c>
      <c r="H112" s="161" t="s">
        <v>136</v>
      </c>
      <c r="I112" s="161" t="s">
        <v>137</v>
      </c>
      <c r="J112" s="161" t="s">
        <v>128</v>
      </c>
    </row>
    <row r="113" spans="2:10" s="159" customFormat="1" ht="18" customHeight="1">
      <c r="B113" s="217" t="s">
        <v>149</v>
      </c>
      <c r="C113" s="217" t="s">
        <v>150</v>
      </c>
      <c r="D113" s="215" t="s">
        <v>138</v>
      </c>
      <c r="E113" s="215" t="s">
        <v>138</v>
      </c>
      <c r="F113" s="215" t="s">
        <v>139</v>
      </c>
      <c r="G113" s="215" t="s">
        <v>140</v>
      </c>
      <c r="H113" s="215" t="s">
        <v>141</v>
      </c>
      <c r="I113" s="215" t="s">
        <v>160</v>
      </c>
      <c r="J113" s="215" t="s">
        <v>142</v>
      </c>
    </row>
    <row r="114" spans="2:10" s="159" customFormat="1" ht="18" customHeight="1">
      <c r="B114" s="217"/>
      <c r="C114" s="217"/>
      <c r="D114" s="215"/>
      <c r="E114" s="215"/>
      <c r="F114" s="215"/>
      <c r="G114" s="215"/>
      <c r="H114" s="215"/>
      <c r="I114" s="215"/>
      <c r="J114" s="215"/>
    </row>
    <row r="115" spans="2:10" s="159" customFormat="1" ht="18" customHeight="1">
      <c r="B115" s="217"/>
      <c r="C115" s="217" t="s">
        <v>151</v>
      </c>
      <c r="D115" s="220" t="s">
        <v>152</v>
      </c>
      <c r="E115" s="220" t="s">
        <v>152</v>
      </c>
      <c r="F115" s="215"/>
      <c r="G115" s="215"/>
      <c r="H115" s="215"/>
      <c r="I115" s="215"/>
      <c r="J115" s="215"/>
    </row>
    <row r="116" spans="2:10" s="159" customFormat="1" ht="18" customHeight="1">
      <c r="B116" s="217"/>
      <c r="C116" s="217"/>
      <c r="D116" s="220"/>
      <c r="E116" s="220"/>
      <c r="F116" s="215"/>
      <c r="G116" s="215"/>
      <c r="H116" s="215"/>
      <c r="I116" s="215"/>
      <c r="J116" s="215"/>
    </row>
    <row r="117" spans="2:10" s="159" customFormat="1" ht="18" customHeight="1">
      <c r="B117" s="217" t="s">
        <v>105</v>
      </c>
      <c r="C117" s="217"/>
      <c r="D117" s="218" t="s">
        <v>143</v>
      </c>
      <c r="E117" s="218" t="s">
        <v>143</v>
      </c>
      <c r="F117" s="218" t="s">
        <v>144</v>
      </c>
      <c r="G117" s="218" t="s">
        <v>168</v>
      </c>
      <c r="H117" s="221" t="s">
        <v>169</v>
      </c>
      <c r="I117" s="218" t="s">
        <v>171</v>
      </c>
      <c r="J117" s="225" t="s">
        <v>170</v>
      </c>
    </row>
    <row r="118" spans="2:10" s="159" customFormat="1" ht="18" customHeight="1">
      <c r="B118" s="217"/>
      <c r="C118" s="217"/>
      <c r="D118" s="218"/>
      <c r="E118" s="218"/>
      <c r="F118" s="218"/>
      <c r="G118" s="218"/>
      <c r="H118" s="221"/>
      <c r="I118" s="218"/>
      <c r="J118" s="226"/>
    </row>
    <row r="119" spans="2:10" s="159" customFormat="1" ht="18" customHeight="1">
      <c r="B119" s="217" t="s">
        <v>106</v>
      </c>
      <c r="C119" s="217"/>
      <c r="D119" s="219" t="s">
        <v>145</v>
      </c>
      <c r="E119" s="219" t="s">
        <v>145</v>
      </c>
      <c r="F119" s="229"/>
      <c r="G119" s="219" t="s">
        <v>146</v>
      </c>
      <c r="H119" s="219" t="s">
        <v>147</v>
      </c>
      <c r="I119" s="219" t="s">
        <v>161</v>
      </c>
      <c r="J119" s="229"/>
    </row>
    <row r="120" spans="2:10" s="159" customFormat="1" ht="18" customHeight="1">
      <c r="B120" s="217"/>
      <c r="C120" s="217"/>
      <c r="D120" s="219"/>
      <c r="E120" s="219"/>
      <c r="F120" s="229"/>
      <c r="G120" s="219"/>
      <c r="H120" s="219"/>
      <c r="I120" s="219"/>
      <c r="J120" s="229"/>
    </row>
  </sheetData>
  <sheetProtection/>
  <mergeCells count="113">
    <mergeCell ref="E21:F21"/>
    <mergeCell ref="I113:I116"/>
    <mergeCell ref="J113:J116"/>
    <mergeCell ref="E119:E120"/>
    <mergeCell ref="F119:F120"/>
    <mergeCell ref="G119:G120"/>
    <mergeCell ref="H119:H120"/>
    <mergeCell ref="I119:I120"/>
    <mergeCell ref="J119:J120"/>
    <mergeCell ref="G117:G118"/>
    <mergeCell ref="H117:H118"/>
    <mergeCell ref="D78:I79"/>
    <mergeCell ref="B1:K1"/>
    <mergeCell ref="B2:K2"/>
    <mergeCell ref="B100:K100"/>
    <mergeCell ref="I117:I118"/>
    <mergeCell ref="J117:J118"/>
    <mergeCell ref="B117:C118"/>
    <mergeCell ref="D117:D118"/>
    <mergeCell ref="E117:E118"/>
    <mergeCell ref="F117:F118"/>
    <mergeCell ref="B119:C120"/>
    <mergeCell ref="D119:D120"/>
    <mergeCell ref="D115:D116"/>
    <mergeCell ref="E115:E116"/>
    <mergeCell ref="G113:G116"/>
    <mergeCell ref="H113:H116"/>
    <mergeCell ref="B112:C112"/>
    <mergeCell ref="B113:B116"/>
    <mergeCell ref="C113:C114"/>
    <mergeCell ref="D113:D114"/>
    <mergeCell ref="E113:E114"/>
    <mergeCell ref="F113:F116"/>
    <mergeCell ref="C115:C116"/>
    <mergeCell ref="B109:D109"/>
    <mergeCell ref="E109:F109"/>
    <mergeCell ref="G109:H109"/>
    <mergeCell ref="I109:J109"/>
    <mergeCell ref="B110:D110"/>
    <mergeCell ref="E110:F110"/>
    <mergeCell ref="G110:H110"/>
    <mergeCell ref="I110:J110"/>
    <mergeCell ref="B107:D107"/>
    <mergeCell ref="E107:F107"/>
    <mergeCell ref="G107:H107"/>
    <mergeCell ref="I107:J107"/>
    <mergeCell ref="B108:D108"/>
    <mergeCell ref="E108:F108"/>
    <mergeCell ref="G108:H108"/>
    <mergeCell ref="I108:J108"/>
    <mergeCell ref="D10:J11"/>
    <mergeCell ref="B90:K99"/>
    <mergeCell ref="B102:D103"/>
    <mergeCell ref="E102:F102"/>
    <mergeCell ref="G102:H103"/>
    <mergeCell ref="I102:J103"/>
    <mergeCell ref="B87:I88"/>
    <mergeCell ref="J87:J88"/>
    <mergeCell ref="K87:K88"/>
    <mergeCell ref="D40:I40"/>
    <mergeCell ref="G104:H104"/>
    <mergeCell ref="I104:J104"/>
    <mergeCell ref="G62:I62"/>
    <mergeCell ref="G63:I63"/>
    <mergeCell ref="D64:J64"/>
    <mergeCell ref="D68:J68"/>
    <mergeCell ref="E62:F63"/>
    <mergeCell ref="D83:I83"/>
    <mergeCell ref="D71:I71"/>
    <mergeCell ref="D72:I72"/>
    <mergeCell ref="E22:F22"/>
    <mergeCell ref="E23:F23"/>
    <mergeCell ref="E24:F24"/>
    <mergeCell ref="D75:I75"/>
    <mergeCell ref="D58:D63"/>
    <mergeCell ref="E58:J59"/>
    <mergeCell ref="D47:I47"/>
    <mergeCell ref="E60:F61"/>
    <mergeCell ref="G60:I60"/>
    <mergeCell ref="G61:I61"/>
    <mergeCell ref="C13:E13"/>
    <mergeCell ref="C14:E14"/>
    <mergeCell ref="C15:E15"/>
    <mergeCell ref="C16:E16"/>
    <mergeCell ref="C17:E17"/>
    <mergeCell ref="C18:E18"/>
    <mergeCell ref="D4:J5"/>
    <mergeCell ref="D51:D57"/>
    <mergeCell ref="E51:J53"/>
    <mergeCell ref="E54:F55"/>
    <mergeCell ref="G54:I54"/>
    <mergeCell ref="G55:I55"/>
    <mergeCell ref="C19:D24"/>
    <mergeCell ref="E19:F19"/>
    <mergeCell ref="E20:F20"/>
    <mergeCell ref="C12:F12"/>
    <mergeCell ref="B106:D106"/>
    <mergeCell ref="E106:F106"/>
    <mergeCell ref="G106:H106"/>
    <mergeCell ref="I106:J106"/>
    <mergeCell ref="D67:I67"/>
    <mergeCell ref="D82:I82"/>
    <mergeCell ref="B105:D105"/>
    <mergeCell ref="G105:H105"/>
    <mergeCell ref="I105:J105"/>
    <mergeCell ref="B104:D104"/>
    <mergeCell ref="D39:I39"/>
    <mergeCell ref="D43:I43"/>
    <mergeCell ref="D46:I46"/>
    <mergeCell ref="E56:F57"/>
    <mergeCell ref="G56:I56"/>
    <mergeCell ref="G57:I57"/>
    <mergeCell ref="D48:J48"/>
  </mergeCells>
  <printOptions/>
  <pageMargins left="0.3937007874015748" right="0.3937007874015748" top="0.5905511811023623" bottom="0.5905511811023623" header="0.5118110236220472" footer="0.31496062992125984"/>
  <pageSetup fitToHeight="2" horizontalDpi="600" verticalDpi="600" orientation="portrait" paperSize="9" scale="69" r:id="rId1"/>
  <rowBreaks count="1" manualBreakCount="1">
    <brk id="65" min="1" max="10" man="1"/>
  </rowBreaks>
  <ignoredErrors>
    <ignoredError sqref="J17" formula="1"/>
  </ignoredErrors>
</worksheet>
</file>

<file path=xl/worksheets/sheet2.xml><?xml version="1.0" encoding="utf-8"?>
<worksheet xmlns="http://schemas.openxmlformats.org/spreadsheetml/2006/main" xmlns:r="http://schemas.openxmlformats.org/officeDocument/2006/relationships">
  <dimension ref="A1:J50"/>
  <sheetViews>
    <sheetView zoomScalePageLayoutView="0" workbookViewId="0" topLeftCell="A1">
      <selection activeCell="C3" sqref="C3:I3"/>
    </sheetView>
  </sheetViews>
  <sheetFormatPr defaultColWidth="8.66015625" defaultRowHeight="18"/>
  <cols>
    <col min="1" max="16384" width="9" style="48" customWidth="1"/>
  </cols>
  <sheetData>
    <row r="1" spans="1:10" ht="13.5">
      <c r="A1" s="45" t="s">
        <v>63</v>
      </c>
      <c r="B1" s="46"/>
      <c r="C1" s="46"/>
      <c r="D1" s="47"/>
      <c r="E1" s="46"/>
      <c r="F1" s="47"/>
      <c r="G1" s="46"/>
      <c r="H1" s="47"/>
      <c r="I1" s="46"/>
      <c r="J1" s="46"/>
    </row>
    <row r="2" spans="1:10" ht="14.25" thickBot="1">
      <c r="A2" s="45" t="s">
        <v>5</v>
      </c>
      <c r="B2" s="46"/>
      <c r="C2" s="46"/>
      <c r="D2" s="47"/>
      <c r="E2" s="46"/>
      <c r="F2" s="47"/>
      <c r="G2" s="46"/>
      <c r="H2" s="47"/>
      <c r="I2" s="46"/>
      <c r="J2" s="46"/>
    </row>
    <row r="3" spans="1:10" ht="13.5">
      <c r="A3" s="230" t="s">
        <v>15</v>
      </c>
      <c r="B3" s="231"/>
      <c r="C3" s="232" t="s">
        <v>61</v>
      </c>
      <c r="D3" s="233"/>
      <c r="E3" s="233"/>
      <c r="F3" s="233"/>
      <c r="G3" s="233"/>
      <c r="H3" s="233"/>
      <c r="I3" s="234"/>
      <c r="J3" s="48" t="s">
        <v>62</v>
      </c>
    </row>
    <row r="4" spans="1:10" ht="18" thickBot="1">
      <c r="A4" s="50" t="s">
        <v>6</v>
      </c>
      <c r="B4" s="50" t="s">
        <v>7</v>
      </c>
      <c r="C4" s="235" t="s">
        <v>16</v>
      </c>
      <c r="D4" s="236"/>
      <c r="E4" s="236"/>
      <c r="F4" s="236"/>
      <c r="G4" s="236"/>
      <c r="H4" s="236"/>
      <c r="I4" s="237"/>
      <c r="J4" s="46"/>
    </row>
    <row r="5" spans="1:10" ht="13.5">
      <c r="A5" s="51">
        <v>0</v>
      </c>
      <c r="B5" s="51">
        <v>0.1</v>
      </c>
      <c r="C5" s="52">
        <v>131</v>
      </c>
      <c r="D5" s="49" t="s">
        <v>17</v>
      </c>
      <c r="E5" s="53" t="s">
        <v>18</v>
      </c>
      <c r="F5" s="49" t="s">
        <v>19</v>
      </c>
      <c r="G5" s="54">
        <v>10000</v>
      </c>
      <c r="H5" s="49" t="s">
        <v>20</v>
      </c>
      <c r="I5" s="55">
        <v>397</v>
      </c>
      <c r="J5" s="48">
        <f>INT('格付け'!$J$14*data1!C5/data1!G5+data1!I5)</f>
        <v>397</v>
      </c>
    </row>
    <row r="6" spans="1:10" ht="13.5">
      <c r="A6" s="56">
        <v>0.1</v>
      </c>
      <c r="B6" s="56">
        <v>0.12</v>
      </c>
      <c r="C6" s="57">
        <v>11</v>
      </c>
      <c r="D6" s="58" t="s">
        <v>17</v>
      </c>
      <c r="E6" s="59" t="s">
        <v>18</v>
      </c>
      <c r="F6" s="58" t="s">
        <v>19</v>
      </c>
      <c r="G6" s="60">
        <v>2000</v>
      </c>
      <c r="H6" s="58" t="s">
        <v>20</v>
      </c>
      <c r="I6" s="61">
        <v>473</v>
      </c>
      <c r="J6" s="48">
        <f>INT('格付け'!$J$14*data1!C6/data1!G6+data1!I6)</f>
        <v>473</v>
      </c>
    </row>
    <row r="7" spans="1:10" ht="13.5">
      <c r="A7" s="56">
        <v>0.12</v>
      </c>
      <c r="B7" s="56">
        <v>0.15</v>
      </c>
      <c r="C7" s="57">
        <v>14</v>
      </c>
      <c r="D7" s="58" t="s">
        <v>17</v>
      </c>
      <c r="E7" s="59" t="s">
        <v>18</v>
      </c>
      <c r="F7" s="58" t="s">
        <v>19</v>
      </c>
      <c r="G7" s="60">
        <v>3000</v>
      </c>
      <c r="H7" s="58" t="s">
        <v>20</v>
      </c>
      <c r="I7" s="61">
        <v>483</v>
      </c>
      <c r="J7" s="48">
        <f>INT('格付け'!$J$14*data1!C7/data1!G7+data1!I7)</f>
        <v>483</v>
      </c>
    </row>
    <row r="8" spans="1:10" ht="13.5">
      <c r="A8" s="56">
        <v>0.15</v>
      </c>
      <c r="B8" s="56">
        <v>0.2</v>
      </c>
      <c r="C8" s="57">
        <v>20</v>
      </c>
      <c r="D8" s="58" t="s">
        <v>17</v>
      </c>
      <c r="E8" s="59" t="s">
        <v>18</v>
      </c>
      <c r="F8" s="58" t="s">
        <v>19</v>
      </c>
      <c r="G8" s="60">
        <v>5000</v>
      </c>
      <c r="H8" s="58" t="s">
        <v>20</v>
      </c>
      <c r="I8" s="61">
        <v>493</v>
      </c>
      <c r="J8" s="48">
        <f>INT('格付け'!$J$14*data1!C8/data1!G8+data1!I8)</f>
        <v>493</v>
      </c>
    </row>
    <row r="9" spans="1:10" ht="13.5">
      <c r="A9" s="56">
        <v>0.2</v>
      </c>
      <c r="B9" s="56">
        <v>0.25</v>
      </c>
      <c r="C9" s="57">
        <v>16</v>
      </c>
      <c r="D9" s="58" t="s">
        <v>17</v>
      </c>
      <c r="E9" s="59" t="s">
        <v>18</v>
      </c>
      <c r="F9" s="58" t="s">
        <v>19</v>
      </c>
      <c r="G9" s="60">
        <v>5000</v>
      </c>
      <c r="H9" s="58" t="s">
        <v>20</v>
      </c>
      <c r="I9" s="61">
        <v>509</v>
      </c>
      <c r="J9" s="48">
        <f>INT('格付け'!$J$14*data1!C9/data1!G9+data1!I9)</f>
        <v>509</v>
      </c>
    </row>
    <row r="10" spans="1:10" ht="13.5">
      <c r="A10" s="56">
        <v>0.25</v>
      </c>
      <c r="B10" s="56">
        <v>0.3</v>
      </c>
      <c r="C10" s="57">
        <v>13</v>
      </c>
      <c r="D10" s="58" t="s">
        <v>17</v>
      </c>
      <c r="E10" s="59" t="s">
        <v>18</v>
      </c>
      <c r="F10" s="58" t="s">
        <v>19</v>
      </c>
      <c r="G10" s="60">
        <v>5000</v>
      </c>
      <c r="H10" s="58" t="s">
        <v>20</v>
      </c>
      <c r="I10" s="61">
        <v>524</v>
      </c>
      <c r="J10" s="48">
        <f>INT('格付け'!$J$14*data1!C10/data1!G10+data1!I10)</f>
        <v>524</v>
      </c>
    </row>
    <row r="11" spans="1:10" ht="13.5">
      <c r="A11" s="56">
        <v>0.3</v>
      </c>
      <c r="B11" s="56">
        <v>0.4</v>
      </c>
      <c r="C11" s="57">
        <v>24</v>
      </c>
      <c r="D11" s="58" t="s">
        <v>17</v>
      </c>
      <c r="E11" s="59" t="s">
        <v>18</v>
      </c>
      <c r="F11" s="58" t="s">
        <v>19</v>
      </c>
      <c r="G11" s="60">
        <v>10000</v>
      </c>
      <c r="H11" s="58" t="s">
        <v>20</v>
      </c>
      <c r="I11" s="61">
        <v>530</v>
      </c>
      <c r="J11" s="48">
        <f>INT('格付け'!$J$14*data1!C11/data1!G11+data1!I11)</f>
        <v>530</v>
      </c>
    </row>
    <row r="12" spans="1:10" ht="13.5">
      <c r="A12" s="56">
        <v>0.4</v>
      </c>
      <c r="B12" s="56">
        <v>0.5</v>
      </c>
      <c r="C12" s="57">
        <v>19</v>
      </c>
      <c r="D12" s="58" t="s">
        <v>17</v>
      </c>
      <c r="E12" s="59" t="s">
        <v>18</v>
      </c>
      <c r="F12" s="58" t="s">
        <v>19</v>
      </c>
      <c r="G12" s="60">
        <v>10000</v>
      </c>
      <c r="H12" s="58" t="s">
        <v>20</v>
      </c>
      <c r="I12" s="61">
        <v>550</v>
      </c>
      <c r="J12" s="48">
        <f>INT('格付け'!$J$14*data1!C12/data1!G12+data1!I12)</f>
        <v>550</v>
      </c>
    </row>
    <row r="13" spans="1:10" ht="13.5">
      <c r="A13" s="56">
        <v>0.5</v>
      </c>
      <c r="B13" s="56">
        <v>0.6</v>
      </c>
      <c r="C13" s="57">
        <v>16</v>
      </c>
      <c r="D13" s="58" t="s">
        <v>17</v>
      </c>
      <c r="E13" s="59" t="s">
        <v>18</v>
      </c>
      <c r="F13" s="58" t="s">
        <v>19</v>
      </c>
      <c r="G13" s="60">
        <v>10000</v>
      </c>
      <c r="H13" s="58" t="s">
        <v>20</v>
      </c>
      <c r="I13" s="61">
        <v>565</v>
      </c>
      <c r="J13" s="48">
        <f>INT('格付け'!$J$14*data1!C13/data1!G13+data1!I13)</f>
        <v>565</v>
      </c>
    </row>
    <row r="14" spans="1:10" ht="13.5">
      <c r="A14" s="56">
        <v>0.6</v>
      </c>
      <c r="B14" s="56">
        <v>0.8</v>
      </c>
      <c r="C14" s="57">
        <v>28</v>
      </c>
      <c r="D14" s="58" t="s">
        <v>17</v>
      </c>
      <c r="E14" s="59" t="s">
        <v>18</v>
      </c>
      <c r="F14" s="58" t="s">
        <v>19</v>
      </c>
      <c r="G14" s="60">
        <v>20000</v>
      </c>
      <c r="H14" s="58" t="s">
        <v>20</v>
      </c>
      <c r="I14" s="61">
        <v>577</v>
      </c>
      <c r="J14" s="48">
        <f>INT('格付け'!$J$14*data1!C14/data1!G14+data1!I14)</f>
        <v>577</v>
      </c>
    </row>
    <row r="15" spans="1:10" ht="13.5">
      <c r="A15" s="56">
        <v>0.8</v>
      </c>
      <c r="B15" s="56">
        <v>1</v>
      </c>
      <c r="C15" s="57">
        <v>22</v>
      </c>
      <c r="D15" s="58" t="s">
        <v>17</v>
      </c>
      <c r="E15" s="59" t="s">
        <v>18</v>
      </c>
      <c r="F15" s="58" t="s">
        <v>19</v>
      </c>
      <c r="G15" s="60">
        <v>20000</v>
      </c>
      <c r="H15" s="58" t="s">
        <v>20</v>
      </c>
      <c r="I15" s="61">
        <v>601</v>
      </c>
      <c r="J15" s="48">
        <f>INT('格付け'!$J$14*data1!C15/data1!G15+data1!I15)</f>
        <v>601</v>
      </c>
    </row>
    <row r="16" spans="1:10" ht="13.5">
      <c r="A16" s="56">
        <v>1</v>
      </c>
      <c r="B16" s="56">
        <v>1.2</v>
      </c>
      <c r="C16" s="57">
        <v>19</v>
      </c>
      <c r="D16" s="58" t="s">
        <v>17</v>
      </c>
      <c r="E16" s="59" t="s">
        <v>18</v>
      </c>
      <c r="F16" s="58" t="s">
        <v>19</v>
      </c>
      <c r="G16" s="60">
        <v>20000</v>
      </c>
      <c r="H16" s="58" t="s">
        <v>20</v>
      </c>
      <c r="I16" s="61">
        <v>616</v>
      </c>
      <c r="J16" s="48">
        <f>INT('格付け'!$J$14*data1!C16/data1!G16+data1!I16)</f>
        <v>616</v>
      </c>
    </row>
    <row r="17" spans="1:10" ht="13.5">
      <c r="A17" s="56">
        <v>1.2</v>
      </c>
      <c r="B17" s="56">
        <v>1.5</v>
      </c>
      <c r="C17" s="57">
        <v>26</v>
      </c>
      <c r="D17" s="58" t="s">
        <v>17</v>
      </c>
      <c r="E17" s="59" t="s">
        <v>18</v>
      </c>
      <c r="F17" s="58" t="s">
        <v>19</v>
      </c>
      <c r="G17" s="60">
        <v>30000</v>
      </c>
      <c r="H17" s="58" t="s">
        <v>20</v>
      </c>
      <c r="I17" s="61">
        <v>626</v>
      </c>
      <c r="J17" s="48">
        <f>INT('格付け'!$J$14*data1!C17/data1!G17+data1!I17)</f>
        <v>626</v>
      </c>
    </row>
    <row r="18" spans="1:10" ht="13.5">
      <c r="A18" s="56">
        <v>1.5</v>
      </c>
      <c r="B18" s="56">
        <v>2</v>
      </c>
      <c r="C18" s="57">
        <v>34</v>
      </c>
      <c r="D18" s="58" t="s">
        <v>17</v>
      </c>
      <c r="E18" s="59" t="s">
        <v>18</v>
      </c>
      <c r="F18" s="58" t="s">
        <v>19</v>
      </c>
      <c r="G18" s="60">
        <v>50000</v>
      </c>
      <c r="H18" s="58" t="s">
        <v>20</v>
      </c>
      <c r="I18" s="61">
        <v>654</v>
      </c>
      <c r="J18" s="48">
        <f>INT('格付け'!$J$14*data1!C18/data1!G18+data1!I18)</f>
        <v>654</v>
      </c>
    </row>
    <row r="19" spans="1:10" ht="13.5">
      <c r="A19" s="56">
        <v>2</v>
      </c>
      <c r="B19" s="56">
        <v>2.5</v>
      </c>
      <c r="C19" s="57">
        <v>28</v>
      </c>
      <c r="D19" s="58" t="s">
        <v>17</v>
      </c>
      <c r="E19" s="59" t="s">
        <v>18</v>
      </c>
      <c r="F19" s="58" t="s">
        <v>19</v>
      </c>
      <c r="G19" s="60">
        <v>50000</v>
      </c>
      <c r="H19" s="58" t="s">
        <v>20</v>
      </c>
      <c r="I19" s="61">
        <v>678</v>
      </c>
      <c r="J19" s="48">
        <f>INT('格付け'!$J$14*data1!C19/data1!G19+data1!I19)</f>
        <v>678</v>
      </c>
    </row>
    <row r="20" spans="1:10" ht="13.5">
      <c r="A20" s="56">
        <v>2.5</v>
      </c>
      <c r="B20" s="56">
        <v>3</v>
      </c>
      <c r="C20" s="57">
        <v>24</v>
      </c>
      <c r="D20" s="58" t="s">
        <v>17</v>
      </c>
      <c r="E20" s="59" t="s">
        <v>18</v>
      </c>
      <c r="F20" s="58" t="s">
        <v>19</v>
      </c>
      <c r="G20" s="60">
        <v>50000</v>
      </c>
      <c r="H20" s="58" t="s">
        <v>20</v>
      </c>
      <c r="I20" s="61">
        <v>698</v>
      </c>
      <c r="J20" s="48">
        <f>INT('格付け'!$J$14*data1!C20/data1!G20+data1!I20)</f>
        <v>698</v>
      </c>
    </row>
    <row r="21" spans="1:10" ht="13.5">
      <c r="A21" s="56">
        <v>3</v>
      </c>
      <c r="B21" s="56">
        <v>4</v>
      </c>
      <c r="C21" s="57">
        <v>42</v>
      </c>
      <c r="D21" s="58" t="s">
        <v>17</v>
      </c>
      <c r="E21" s="59" t="s">
        <v>18</v>
      </c>
      <c r="F21" s="58" t="s">
        <v>19</v>
      </c>
      <c r="G21" s="60">
        <v>100000</v>
      </c>
      <c r="H21" s="58" t="s">
        <v>20</v>
      </c>
      <c r="I21" s="61">
        <v>716</v>
      </c>
      <c r="J21" s="48">
        <f>INT('格付け'!$J$14*data1!C21/data1!G21+data1!I21)</f>
        <v>716</v>
      </c>
    </row>
    <row r="22" spans="1:10" ht="13.5">
      <c r="A22" s="56">
        <v>4</v>
      </c>
      <c r="B22" s="56">
        <v>5</v>
      </c>
      <c r="C22" s="57">
        <v>34</v>
      </c>
      <c r="D22" s="58" t="s">
        <v>17</v>
      </c>
      <c r="E22" s="59" t="s">
        <v>18</v>
      </c>
      <c r="F22" s="58" t="s">
        <v>19</v>
      </c>
      <c r="G22" s="60">
        <v>100000</v>
      </c>
      <c r="H22" s="58" t="s">
        <v>20</v>
      </c>
      <c r="I22" s="61">
        <v>748</v>
      </c>
      <c r="J22" s="48">
        <f>INT('格付け'!$J$14*data1!C22/data1!G22+data1!I22)</f>
        <v>748</v>
      </c>
    </row>
    <row r="23" spans="1:10" ht="13.5">
      <c r="A23" s="56">
        <v>5</v>
      </c>
      <c r="B23" s="56">
        <v>6</v>
      </c>
      <c r="C23" s="57">
        <v>25</v>
      </c>
      <c r="D23" s="58" t="s">
        <v>17</v>
      </c>
      <c r="E23" s="59" t="s">
        <v>18</v>
      </c>
      <c r="F23" s="58" t="s">
        <v>19</v>
      </c>
      <c r="G23" s="60">
        <v>100000</v>
      </c>
      <c r="H23" s="58" t="s">
        <v>20</v>
      </c>
      <c r="I23" s="61">
        <v>793</v>
      </c>
      <c r="J23" s="48">
        <f>INT('格付け'!$J$14*data1!C23/data1!G23+data1!I23)</f>
        <v>793</v>
      </c>
    </row>
    <row r="24" spans="1:10" ht="13.5">
      <c r="A24" s="56">
        <v>6</v>
      </c>
      <c r="B24" s="56">
        <v>8</v>
      </c>
      <c r="C24" s="57">
        <v>25</v>
      </c>
      <c r="D24" s="58" t="s">
        <v>17</v>
      </c>
      <c r="E24" s="59" t="s">
        <v>18</v>
      </c>
      <c r="F24" s="58" t="s">
        <v>19</v>
      </c>
      <c r="G24" s="60">
        <v>200000</v>
      </c>
      <c r="H24" s="58" t="s">
        <v>20</v>
      </c>
      <c r="I24" s="61">
        <v>868</v>
      </c>
      <c r="J24" s="48">
        <f>INT('格付け'!$J$14*data1!C24/data1!G24+data1!I24)</f>
        <v>868</v>
      </c>
    </row>
    <row r="25" spans="1:10" ht="13.5">
      <c r="A25" s="56">
        <v>8</v>
      </c>
      <c r="B25" s="56">
        <v>10</v>
      </c>
      <c r="C25" s="57">
        <v>38</v>
      </c>
      <c r="D25" s="58" t="s">
        <v>17</v>
      </c>
      <c r="E25" s="59" t="s">
        <v>18</v>
      </c>
      <c r="F25" s="58" t="s">
        <v>19</v>
      </c>
      <c r="G25" s="60">
        <v>200000</v>
      </c>
      <c r="H25" s="58" t="s">
        <v>20</v>
      </c>
      <c r="I25" s="61">
        <v>816</v>
      </c>
      <c r="J25" s="48">
        <f>INT('格付け'!$J$14*data1!C25/data1!G25+data1!I25)</f>
        <v>816</v>
      </c>
    </row>
    <row r="26" spans="1:10" ht="13.5">
      <c r="A26" s="56">
        <v>10</v>
      </c>
      <c r="B26" s="56">
        <v>12</v>
      </c>
      <c r="C26" s="57">
        <v>39</v>
      </c>
      <c r="D26" s="58" t="s">
        <v>17</v>
      </c>
      <c r="E26" s="59" t="s">
        <v>18</v>
      </c>
      <c r="F26" s="58" t="s">
        <v>19</v>
      </c>
      <c r="G26" s="60">
        <v>200000</v>
      </c>
      <c r="H26" s="58" t="s">
        <v>20</v>
      </c>
      <c r="I26" s="61">
        <v>811</v>
      </c>
      <c r="J26" s="48">
        <f>INT('格付け'!$J$14*data1!C26/data1!G26+data1!I26)</f>
        <v>811</v>
      </c>
    </row>
    <row r="27" spans="1:10" ht="13.5">
      <c r="A27" s="56">
        <v>12</v>
      </c>
      <c r="B27" s="56">
        <v>15</v>
      </c>
      <c r="C27" s="57">
        <v>38</v>
      </c>
      <c r="D27" s="58" t="s">
        <v>17</v>
      </c>
      <c r="E27" s="59" t="s">
        <v>18</v>
      </c>
      <c r="F27" s="58" t="s">
        <v>19</v>
      </c>
      <c r="G27" s="60">
        <v>300000</v>
      </c>
      <c r="H27" s="58" t="s">
        <v>20</v>
      </c>
      <c r="I27" s="61">
        <v>893</v>
      </c>
      <c r="J27" s="48">
        <f>INT('格付け'!$J$14*data1!C27/data1!G27+data1!I27)</f>
        <v>893</v>
      </c>
    </row>
    <row r="28" spans="1:10" ht="13.5">
      <c r="A28" s="56">
        <v>15</v>
      </c>
      <c r="B28" s="56">
        <v>20</v>
      </c>
      <c r="C28" s="57">
        <v>36</v>
      </c>
      <c r="D28" s="58" t="s">
        <v>17</v>
      </c>
      <c r="E28" s="59" t="s">
        <v>18</v>
      </c>
      <c r="F28" s="58" t="s">
        <v>19</v>
      </c>
      <c r="G28" s="60">
        <v>500000</v>
      </c>
      <c r="H28" s="58" t="s">
        <v>20</v>
      </c>
      <c r="I28" s="61">
        <v>975</v>
      </c>
      <c r="J28" s="48">
        <f>INT('格付け'!$J$14*data1!C28/data1!G28+data1!I28)</f>
        <v>975</v>
      </c>
    </row>
    <row r="29" spans="1:10" ht="13.5">
      <c r="A29" s="56">
        <v>20</v>
      </c>
      <c r="B29" s="56">
        <v>25</v>
      </c>
      <c r="C29" s="57">
        <v>39</v>
      </c>
      <c r="D29" s="58" t="s">
        <v>17</v>
      </c>
      <c r="E29" s="59" t="s">
        <v>18</v>
      </c>
      <c r="F29" s="58" t="s">
        <v>19</v>
      </c>
      <c r="G29" s="60">
        <v>500000</v>
      </c>
      <c r="H29" s="58" t="s">
        <v>20</v>
      </c>
      <c r="I29" s="61">
        <v>963</v>
      </c>
      <c r="J29" s="48">
        <f>INT('格付け'!$J$14*data1!C29/data1!G29+data1!I29)</f>
        <v>963</v>
      </c>
    </row>
    <row r="30" spans="1:10" ht="13.5">
      <c r="A30" s="56">
        <v>25</v>
      </c>
      <c r="B30" s="56">
        <v>30</v>
      </c>
      <c r="C30" s="57">
        <v>51</v>
      </c>
      <c r="D30" s="58" t="s">
        <v>17</v>
      </c>
      <c r="E30" s="59" t="s">
        <v>18</v>
      </c>
      <c r="F30" s="58" t="s">
        <v>19</v>
      </c>
      <c r="G30" s="60">
        <v>500000</v>
      </c>
      <c r="H30" s="58" t="s">
        <v>20</v>
      </c>
      <c r="I30" s="61">
        <v>903</v>
      </c>
      <c r="J30" s="48">
        <f>INT('格付け'!$J$14*data1!C30/data1!G30+data1!I30)</f>
        <v>903</v>
      </c>
    </row>
    <row r="31" spans="1:10" ht="13.5">
      <c r="A31" s="56">
        <v>30</v>
      </c>
      <c r="B31" s="56">
        <v>40</v>
      </c>
      <c r="C31" s="57">
        <v>50</v>
      </c>
      <c r="D31" s="58" t="s">
        <v>17</v>
      </c>
      <c r="E31" s="59" t="s">
        <v>18</v>
      </c>
      <c r="F31" s="58" t="s">
        <v>19</v>
      </c>
      <c r="G31" s="60">
        <v>1000000</v>
      </c>
      <c r="H31" s="58" t="s">
        <v>20</v>
      </c>
      <c r="I31" s="61">
        <v>1059</v>
      </c>
      <c r="J31" s="48">
        <f>INT('格付け'!$J$14*data1!C31/data1!G31+data1!I31)</f>
        <v>1059</v>
      </c>
    </row>
    <row r="32" spans="1:10" ht="13.5">
      <c r="A32" s="56">
        <v>40</v>
      </c>
      <c r="B32" s="56">
        <v>50</v>
      </c>
      <c r="C32" s="57">
        <v>51</v>
      </c>
      <c r="D32" s="58" t="s">
        <v>17</v>
      </c>
      <c r="E32" s="59" t="s">
        <v>18</v>
      </c>
      <c r="F32" s="58" t="s">
        <v>19</v>
      </c>
      <c r="G32" s="60">
        <v>1000000</v>
      </c>
      <c r="H32" s="58" t="s">
        <v>20</v>
      </c>
      <c r="I32" s="61">
        <v>1055</v>
      </c>
      <c r="J32" s="48">
        <f>INT('格付け'!$J$14*data1!C32/data1!G32+data1!I32)</f>
        <v>1055</v>
      </c>
    </row>
    <row r="33" spans="1:10" ht="13.5">
      <c r="A33" s="56">
        <v>50</v>
      </c>
      <c r="B33" s="56">
        <v>60</v>
      </c>
      <c r="C33" s="57">
        <v>51</v>
      </c>
      <c r="D33" s="58" t="s">
        <v>17</v>
      </c>
      <c r="E33" s="59" t="s">
        <v>18</v>
      </c>
      <c r="F33" s="58" t="s">
        <v>19</v>
      </c>
      <c r="G33" s="60">
        <v>1000000</v>
      </c>
      <c r="H33" s="58" t="s">
        <v>20</v>
      </c>
      <c r="I33" s="61">
        <v>1055</v>
      </c>
      <c r="J33" s="48">
        <f>INT('格付け'!$J$14*data1!C33/data1!G33+data1!I33)</f>
        <v>1055</v>
      </c>
    </row>
    <row r="34" spans="1:10" ht="13.5">
      <c r="A34" s="56">
        <v>60</v>
      </c>
      <c r="B34" s="56">
        <v>80</v>
      </c>
      <c r="C34" s="57">
        <v>50</v>
      </c>
      <c r="D34" s="58" t="s">
        <v>17</v>
      </c>
      <c r="E34" s="59" t="s">
        <v>18</v>
      </c>
      <c r="F34" s="58" t="s">
        <v>19</v>
      </c>
      <c r="G34" s="60">
        <v>2000000</v>
      </c>
      <c r="H34" s="58" t="s">
        <v>20</v>
      </c>
      <c r="I34" s="61">
        <v>1211</v>
      </c>
      <c r="J34" s="48">
        <f>INT('格付け'!$J$14*data1!C34/data1!G34+data1!I34)</f>
        <v>1211</v>
      </c>
    </row>
    <row r="35" spans="1:10" ht="13.5">
      <c r="A35" s="56">
        <v>80</v>
      </c>
      <c r="B35" s="56">
        <v>100</v>
      </c>
      <c r="C35" s="57">
        <v>64</v>
      </c>
      <c r="D35" s="58" t="s">
        <v>17</v>
      </c>
      <c r="E35" s="59" t="s">
        <v>18</v>
      </c>
      <c r="F35" s="58" t="s">
        <v>19</v>
      </c>
      <c r="G35" s="60">
        <v>2000000</v>
      </c>
      <c r="H35" s="58" t="s">
        <v>20</v>
      </c>
      <c r="I35" s="61">
        <v>1155</v>
      </c>
      <c r="J35" s="48">
        <f>INT('格付け'!$J$14*data1!C35/data1!G35+data1!I35)</f>
        <v>1155</v>
      </c>
    </row>
    <row r="36" spans="1:10" ht="13.5">
      <c r="A36" s="56">
        <v>100</v>
      </c>
      <c r="B36" s="56">
        <v>120</v>
      </c>
      <c r="C36" s="57">
        <v>62</v>
      </c>
      <c r="D36" s="58" t="s">
        <v>17</v>
      </c>
      <c r="E36" s="59" t="s">
        <v>18</v>
      </c>
      <c r="F36" s="58" t="s">
        <v>19</v>
      </c>
      <c r="G36" s="60">
        <v>2000000</v>
      </c>
      <c r="H36" s="58" t="s">
        <v>20</v>
      </c>
      <c r="I36" s="61">
        <v>1165</v>
      </c>
      <c r="J36" s="48">
        <f>INT('格付け'!$J$14*data1!C36/data1!G36+data1!I36)</f>
        <v>1165</v>
      </c>
    </row>
    <row r="37" spans="1:10" ht="13.5">
      <c r="A37" s="56">
        <v>120</v>
      </c>
      <c r="B37" s="56">
        <v>150</v>
      </c>
      <c r="C37" s="57">
        <v>64</v>
      </c>
      <c r="D37" s="58" t="s">
        <v>17</v>
      </c>
      <c r="E37" s="59" t="s">
        <v>18</v>
      </c>
      <c r="F37" s="58" t="s">
        <v>19</v>
      </c>
      <c r="G37" s="60">
        <v>3000000</v>
      </c>
      <c r="H37" s="58" t="s">
        <v>20</v>
      </c>
      <c r="I37" s="61">
        <v>1281</v>
      </c>
      <c r="J37" s="48">
        <f>INT('格付け'!$J$14*data1!C37/data1!G37+data1!I37)</f>
        <v>1281</v>
      </c>
    </row>
    <row r="38" spans="1:10" ht="13.5">
      <c r="A38" s="56">
        <v>150</v>
      </c>
      <c r="B38" s="56">
        <v>200</v>
      </c>
      <c r="C38" s="57">
        <v>76</v>
      </c>
      <c r="D38" s="58" t="s">
        <v>17</v>
      </c>
      <c r="E38" s="59" t="s">
        <v>18</v>
      </c>
      <c r="F38" s="58" t="s">
        <v>19</v>
      </c>
      <c r="G38" s="60">
        <v>5000000</v>
      </c>
      <c r="H38" s="58" t="s">
        <v>20</v>
      </c>
      <c r="I38" s="61">
        <v>1373</v>
      </c>
      <c r="J38" s="48">
        <f>INT('格付け'!$J$14*data1!C38/data1!G38+data1!I38)</f>
        <v>1373</v>
      </c>
    </row>
    <row r="39" spans="1:10" ht="13.5">
      <c r="A39" s="56">
        <v>200</v>
      </c>
      <c r="B39" s="56">
        <v>250</v>
      </c>
      <c r="C39" s="57">
        <v>76</v>
      </c>
      <c r="D39" s="58" t="s">
        <v>17</v>
      </c>
      <c r="E39" s="59" t="s">
        <v>18</v>
      </c>
      <c r="F39" s="58" t="s">
        <v>19</v>
      </c>
      <c r="G39" s="60">
        <v>5000000</v>
      </c>
      <c r="H39" s="58" t="s">
        <v>20</v>
      </c>
      <c r="I39" s="61">
        <v>1373</v>
      </c>
      <c r="J39" s="48">
        <f>INT('格付け'!$J$14*data1!C39/data1!G39+data1!I39)</f>
        <v>1373</v>
      </c>
    </row>
    <row r="40" spans="1:10" ht="13.5">
      <c r="A40" s="56">
        <v>250</v>
      </c>
      <c r="B40" s="56">
        <v>300</v>
      </c>
      <c r="C40" s="57">
        <v>75</v>
      </c>
      <c r="D40" s="58" t="s">
        <v>17</v>
      </c>
      <c r="E40" s="59" t="s">
        <v>18</v>
      </c>
      <c r="F40" s="58" t="s">
        <v>19</v>
      </c>
      <c r="G40" s="60">
        <v>5000000</v>
      </c>
      <c r="H40" s="58" t="s">
        <v>20</v>
      </c>
      <c r="I40" s="61">
        <v>1378</v>
      </c>
      <c r="J40" s="48">
        <f>INT('格付け'!$J$14*data1!C40/data1!G40+data1!I40)</f>
        <v>1378</v>
      </c>
    </row>
    <row r="41" spans="1:10" ht="13.5">
      <c r="A41" s="56">
        <v>300</v>
      </c>
      <c r="B41" s="56">
        <v>400</v>
      </c>
      <c r="C41" s="57">
        <v>89</v>
      </c>
      <c r="D41" s="58" t="s">
        <v>17</v>
      </c>
      <c r="E41" s="59" t="s">
        <v>18</v>
      </c>
      <c r="F41" s="58" t="s">
        <v>19</v>
      </c>
      <c r="G41" s="60">
        <v>10000000</v>
      </c>
      <c r="H41" s="58" t="s">
        <v>20</v>
      </c>
      <c r="I41" s="61">
        <v>1561</v>
      </c>
      <c r="J41" s="48">
        <f>INT('格付け'!$J$14*data1!C41/data1!G41+data1!I41)</f>
        <v>1561</v>
      </c>
    </row>
    <row r="42" spans="1:10" ht="13.5">
      <c r="A42" s="56">
        <v>400</v>
      </c>
      <c r="B42" s="56">
        <v>500</v>
      </c>
      <c r="C42" s="57">
        <v>89</v>
      </c>
      <c r="D42" s="58" t="s">
        <v>17</v>
      </c>
      <c r="E42" s="59" t="s">
        <v>18</v>
      </c>
      <c r="F42" s="58" t="s">
        <v>19</v>
      </c>
      <c r="G42" s="60">
        <v>10000000</v>
      </c>
      <c r="H42" s="58" t="s">
        <v>20</v>
      </c>
      <c r="I42" s="61">
        <v>1561</v>
      </c>
      <c r="J42" s="48">
        <f>INT('格付け'!$J$14*data1!C42/data1!G42+data1!I42)</f>
        <v>1561</v>
      </c>
    </row>
    <row r="43" spans="1:10" ht="13.5">
      <c r="A43" s="56">
        <v>500</v>
      </c>
      <c r="B43" s="56">
        <v>600</v>
      </c>
      <c r="C43" s="57">
        <v>88</v>
      </c>
      <c r="D43" s="58" t="s">
        <v>17</v>
      </c>
      <c r="E43" s="59" t="s">
        <v>18</v>
      </c>
      <c r="F43" s="58" t="s">
        <v>19</v>
      </c>
      <c r="G43" s="60">
        <v>10000000</v>
      </c>
      <c r="H43" s="58" t="s">
        <v>20</v>
      </c>
      <c r="I43" s="61">
        <v>1566</v>
      </c>
      <c r="J43" s="48">
        <f>INT('格付け'!$J$14*data1!C43/data1!G43+data1!I43)</f>
        <v>1566</v>
      </c>
    </row>
    <row r="44" spans="1:10" ht="13.5">
      <c r="A44" s="56">
        <v>600</v>
      </c>
      <c r="B44" s="56">
        <v>800</v>
      </c>
      <c r="C44" s="57">
        <v>101</v>
      </c>
      <c r="D44" s="58" t="s">
        <v>17</v>
      </c>
      <c r="E44" s="59" t="s">
        <v>18</v>
      </c>
      <c r="F44" s="58" t="s">
        <v>19</v>
      </c>
      <c r="G44" s="60">
        <v>20000000</v>
      </c>
      <c r="H44" s="58" t="s">
        <v>20</v>
      </c>
      <c r="I44" s="61">
        <v>1791</v>
      </c>
      <c r="J44" s="48">
        <f>INT('格付け'!$J$14*data1!C44/data1!G44+data1!I44)</f>
        <v>1791</v>
      </c>
    </row>
    <row r="45" spans="1:10" ht="13.5">
      <c r="A45" s="56">
        <v>800</v>
      </c>
      <c r="B45" s="56">
        <v>1000</v>
      </c>
      <c r="C45" s="57">
        <v>114</v>
      </c>
      <c r="D45" s="58" t="s">
        <v>17</v>
      </c>
      <c r="E45" s="59" t="s">
        <v>18</v>
      </c>
      <c r="F45" s="58" t="s">
        <v>19</v>
      </c>
      <c r="G45" s="60">
        <v>20000000</v>
      </c>
      <c r="H45" s="58" t="s">
        <v>20</v>
      </c>
      <c r="I45" s="61">
        <v>1739</v>
      </c>
      <c r="J45" s="48">
        <f>INT('格付け'!$J$14*data1!C45/data1!G45+data1!I45)</f>
        <v>1739</v>
      </c>
    </row>
    <row r="46" spans="1:10" ht="13.5">
      <c r="A46" s="56">
        <v>1000</v>
      </c>
      <c r="B46" s="56">
        <v>1200</v>
      </c>
      <c r="C46" s="57"/>
      <c r="D46" s="58"/>
      <c r="E46" s="59"/>
      <c r="F46" s="58"/>
      <c r="G46" s="60"/>
      <c r="H46" s="58"/>
      <c r="I46" s="61">
        <v>2309</v>
      </c>
      <c r="J46" s="48">
        <f>I46</f>
        <v>2309</v>
      </c>
    </row>
    <row r="47" spans="1:10" ht="13.5">
      <c r="A47" s="56">
        <v>1200</v>
      </c>
      <c r="B47" s="56">
        <v>1500</v>
      </c>
      <c r="C47" s="57"/>
      <c r="D47" s="58"/>
      <c r="E47" s="59"/>
      <c r="F47" s="58"/>
      <c r="G47" s="60"/>
      <c r="H47" s="58"/>
      <c r="I47" s="61">
        <v>2309</v>
      </c>
      <c r="J47" s="48">
        <f>I47</f>
        <v>2309</v>
      </c>
    </row>
    <row r="48" spans="1:10" ht="13.5">
      <c r="A48" s="56">
        <v>1500</v>
      </c>
      <c r="B48" s="56">
        <v>2000</v>
      </c>
      <c r="C48" s="57"/>
      <c r="D48" s="58"/>
      <c r="E48" s="59"/>
      <c r="F48" s="58"/>
      <c r="G48" s="60"/>
      <c r="H48" s="58"/>
      <c r="I48" s="61">
        <v>2309</v>
      </c>
      <c r="J48" s="48">
        <f>I48</f>
        <v>2309</v>
      </c>
    </row>
    <row r="49" spans="1:10" ht="14.25" thickBot="1">
      <c r="A49" s="56">
        <v>2000</v>
      </c>
      <c r="B49" s="56"/>
      <c r="C49" s="62"/>
      <c r="D49" s="63"/>
      <c r="E49" s="63"/>
      <c r="F49" s="63"/>
      <c r="G49" s="63"/>
      <c r="H49" s="63"/>
      <c r="I49" s="64">
        <v>2309</v>
      </c>
      <c r="J49" s="48">
        <f>I49</f>
        <v>2309</v>
      </c>
    </row>
    <row r="50" spans="1:10" ht="13.5">
      <c r="A50" s="65"/>
      <c r="B50" s="65"/>
      <c r="C50" s="46"/>
      <c r="D50" s="47"/>
      <c r="E50" s="46"/>
      <c r="F50" s="47"/>
      <c r="G50" s="46"/>
      <c r="H50" s="47"/>
      <c r="I50" s="46"/>
      <c r="J50" s="46"/>
    </row>
  </sheetData>
  <sheetProtection sheet="1"/>
  <mergeCells count="3">
    <mergeCell ref="A3:B3"/>
    <mergeCell ref="C3:I3"/>
    <mergeCell ref="C4:I4"/>
  </mergeCell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sheetPr transitionEvaluation="1"/>
  <dimension ref="A1:G15"/>
  <sheetViews>
    <sheetView showGridLines="0" zoomScale="115" zoomScaleNormal="115" zoomScalePageLayoutView="0" workbookViewId="0" topLeftCell="A1">
      <selection activeCell="C3" sqref="C3"/>
    </sheetView>
  </sheetViews>
  <sheetFormatPr defaultColWidth="14.66015625" defaultRowHeight="18"/>
  <cols>
    <col min="1" max="1" width="22.75" style="2" bestFit="1" customWidth="1"/>
    <col min="2" max="2" width="8" style="2" customWidth="1"/>
    <col min="3" max="3" width="14.58203125" style="2" customWidth="1"/>
    <col min="4" max="4" width="6.75" style="2" customWidth="1"/>
    <col min="5" max="5" width="14.58203125" style="2" customWidth="1"/>
    <col min="6" max="6" width="8.33203125" style="2" customWidth="1"/>
    <col min="7" max="16384" width="14.58203125" style="2" customWidth="1"/>
  </cols>
  <sheetData>
    <row r="1" spans="1:5" ht="17.25">
      <c r="A1" s="3" t="s">
        <v>14</v>
      </c>
      <c r="B1" s="3"/>
      <c r="C1" s="4"/>
      <c r="D1" s="5"/>
      <c r="E1" s="6"/>
    </row>
    <row r="2" spans="1:7" ht="17.25">
      <c r="A2" s="7"/>
      <c r="B2" s="8" t="s">
        <v>10</v>
      </c>
      <c r="C2" s="8" t="e">
        <f>+data3!L58</f>
        <v>#DIV/0!</v>
      </c>
      <c r="D2" s="9"/>
      <c r="E2" s="10"/>
      <c r="G2" s="1"/>
    </row>
    <row r="3" spans="1:7" ht="17.25">
      <c r="A3" s="11"/>
      <c r="B3" s="12" t="s">
        <v>11</v>
      </c>
      <c r="C3" s="66" t="e">
        <f>data4!L58</f>
        <v>#DIV/0!</v>
      </c>
      <c r="D3" s="13"/>
      <c r="E3" s="10"/>
      <c r="G3" s="1"/>
    </row>
    <row r="4" spans="1:5" ht="17.25">
      <c r="A4" s="14"/>
      <c r="B4" s="15"/>
      <c r="C4" s="15"/>
      <c r="D4" s="13"/>
      <c r="E4" s="10"/>
    </row>
    <row r="5" spans="1:5" ht="17.25">
      <c r="A5" s="11" t="s">
        <v>9</v>
      </c>
      <c r="B5" s="15">
        <f>(6*'格付け'!J20)+(('格付け'!J19-'格付け'!J20)*5)+(4*'格付け'!J21)+('格付け'!J22*3)+(2*'格付け'!J23)+(1*'格付け'!J24)</f>
        <v>0</v>
      </c>
      <c r="C5" s="15"/>
      <c r="D5" s="13"/>
      <c r="E5" s="10"/>
    </row>
    <row r="6" spans="1:5" ht="17.25">
      <c r="A6" s="14"/>
      <c r="B6" s="15"/>
      <c r="C6" s="15"/>
      <c r="D6" s="13"/>
      <c r="E6" s="16"/>
    </row>
    <row r="7" spans="1:5" ht="17.25">
      <c r="A7" s="14"/>
      <c r="B7" s="12"/>
      <c r="C7" s="12"/>
      <c r="D7" s="17"/>
      <c r="E7" s="10"/>
    </row>
    <row r="8" spans="1:5" ht="17.25">
      <c r="A8" s="14"/>
      <c r="B8" s="12" t="s">
        <v>10</v>
      </c>
      <c r="C8" s="12" t="e">
        <f>data3!L58</f>
        <v>#DIV/0!</v>
      </c>
      <c r="D8" s="17"/>
      <c r="E8" s="10"/>
    </row>
    <row r="9" spans="1:5" ht="17.25">
      <c r="A9" s="14"/>
      <c r="B9" s="12" t="s">
        <v>11</v>
      </c>
      <c r="C9" s="12" t="e">
        <f>+data4!L58</f>
        <v>#DIV/0!</v>
      </c>
      <c r="D9" s="17"/>
      <c r="E9" s="10"/>
    </row>
    <row r="10" spans="1:5" ht="17.25">
      <c r="A10" s="14"/>
      <c r="B10" s="12"/>
      <c r="C10" s="12"/>
      <c r="D10" s="13"/>
      <c r="E10" s="10"/>
    </row>
    <row r="11" spans="1:5" ht="17.25">
      <c r="A11" s="14"/>
      <c r="B11" s="15"/>
      <c r="C11" s="15"/>
      <c r="D11" s="13"/>
      <c r="E11" s="10"/>
    </row>
    <row r="12" spans="1:5" ht="17.25">
      <c r="A12" s="18" t="s">
        <v>12</v>
      </c>
      <c r="B12" s="12"/>
      <c r="C12" s="12">
        <f>'格付け'!J15/100000</f>
        <v>0</v>
      </c>
      <c r="D12" s="17" t="s">
        <v>13</v>
      </c>
      <c r="E12" s="10"/>
    </row>
    <row r="13" spans="1:5" ht="17.25">
      <c r="A13" s="39" t="s">
        <v>48</v>
      </c>
      <c r="B13" s="19"/>
      <c r="C13" s="19">
        <f>'格付け'!J18/100000</f>
        <v>0</v>
      </c>
      <c r="D13" s="20" t="s">
        <v>13</v>
      </c>
      <c r="E13" s="10"/>
    </row>
    <row r="14" spans="1:5" ht="17.25">
      <c r="A14" s="21"/>
      <c r="B14" s="21"/>
      <c r="C14" s="21"/>
      <c r="D14" s="21"/>
      <c r="E14" s="6"/>
    </row>
    <row r="15" spans="1:3" ht="17.25">
      <c r="A15" s="1"/>
      <c r="B15" s="1"/>
      <c r="C15" s="1"/>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transitionEvaluation="1"/>
  <dimension ref="A1:W58"/>
  <sheetViews>
    <sheetView showGridLines="0" zoomScalePageLayoutView="0" workbookViewId="0" topLeftCell="A1">
      <selection activeCell="J1" sqref="J1"/>
    </sheetView>
  </sheetViews>
  <sheetFormatPr defaultColWidth="13.41015625" defaultRowHeight="18"/>
  <cols>
    <col min="1" max="2" width="8.58203125" style="2" customWidth="1"/>
    <col min="3" max="3" width="4.83203125" style="2" customWidth="1"/>
    <col min="4" max="4" width="3.33203125" style="2" customWidth="1"/>
    <col min="5" max="5" width="10.58203125" style="2" customWidth="1"/>
    <col min="6" max="6" width="3.33203125" style="2" customWidth="1"/>
    <col min="7" max="7" width="10.33203125" style="2" customWidth="1"/>
    <col min="8" max="8" width="3.33203125" style="2" customWidth="1"/>
    <col min="9" max="9" width="7.58203125" style="2" customWidth="1"/>
    <col min="10" max="10" width="8.08203125" style="2" customWidth="1"/>
    <col min="11" max="11" width="10.58203125" style="2" customWidth="1"/>
    <col min="12" max="13" width="8.58203125" style="2" customWidth="1"/>
    <col min="14" max="14" width="4.83203125" style="2" customWidth="1"/>
    <col min="15" max="15" width="3.33203125" style="2" customWidth="1"/>
    <col min="16" max="16" width="10.58203125" style="2" customWidth="1"/>
    <col min="17" max="17" width="3.33203125" style="2" customWidth="1"/>
    <col min="18" max="18" width="10.33203125" style="2" customWidth="1"/>
    <col min="19" max="19" width="3.33203125" style="2" customWidth="1"/>
    <col min="20" max="20" width="7.58203125" style="2" customWidth="1"/>
    <col min="21" max="21" width="8.08203125" style="2" customWidth="1"/>
    <col min="22" max="16384" width="13.33203125" style="2" customWidth="1"/>
  </cols>
  <sheetData>
    <row r="1" spans="1:12" ht="17.25">
      <c r="A1" s="1" t="s">
        <v>8</v>
      </c>
      <c r="L1" s="37" t="s">
        <v>36</v>
      </c>
    </row>
    <row r="2" spans="1:21" ht="18" thickBot="1">
      <c r="A2" s="24" t="s">
        <v>32</v>
      </c>
      <c r="B2" s="25"/>
      <c r="C2" s="25"/>
      <c r="D2" s="26"/>
      <c r="E2" s="25"/>
      <c r="F2" s="26"/>
      <c r="G2" s="25"/>
      <c r="H2" s="26"/>
      <c r="I2" s="25"/>
      <c r="J2" s="25"/>
      <c r="L2" s="24" t="s">
        <v>37</v>
      </c>
      <c r="M2" s="25"/>
      <c r="N2" s="25"/>
      <c r="O2" s="26"/>
      <c r="P2" s="25"/>
      <c r="Q2" s="26"/>
      <c r="R2" s="25"/>
      <c r="S2" s="26"/>
      <c r="T2" s="25"/>
      <c r="U2" s="25"/>
    </row>
    <row r="3" spans="1:23" ht="17.25">
      <c r="A3" s="244" t="s">
        <v>34</v>
      </c>
      <c r="B3" s="245"/>
      <c r="C3" s="238" t="s">
        <v>28</v>
      </c>
      <c r="D3" s="239"/>
      <c r="E3" s="239"/>
      <c r="F3" s="239"/>
      <c r="G3" s="239"/>
      <c r="H3" s="239"/>
      <c r="I3" s="240"/>
      <c r="J3" s="25"/>
      <c r="K3" s="1"/>
      <c r="L3" s="244" t="s">
        <v>44</v>
      </c>
      <c r="M3" s="245"/>
      <c r="N3" s="238" t="s">
        <v>28</v>
      </c>
      <c r="O3" s="239"/>
      <c r="P3" s="239"/>
      <c r="Q3" s="239"/>
      <c r="R3" s="239"/>
      <c r="S3" s="239"/>
      <c r="T3" s="240"/>
      <c r="U3" s="25"/>
      <c r="V3" s="1"/>
      <c r="W3" s="1"/>
    </row>
    <row r="4" spans="1:23" ht="18" thickBot="1">
      <c r="A4" s="27" t="s">
        <v>6</v>
      </c>
      <c r="B4" s="27" t="s">
        <v>7</v>
      </c>
      <c r="C4" s="241" t="s">
        <v>33</v>
      </c>
      <c r="D4" s="242"/>
      <c r="E4" s="242"/>
      <c r="F4" s="242"/>
      <c r="G4" s="242"/>
      <c r="H4" s="242"/>
      <c r="I4" s="243"/>
      <c r="J4" s="25"/>
      <c r="K4" s="1"/>
      <c r="L4" s="27" t="s">
        <v>6</v>
      </c>
      <c r="M4" s="27" t="s">
        <v>7</v>
      </c>
      <c r="N4" s="241" t="s">
        <v>33</v>
      </c>
      <c r="O4" s="242"/>
      <c r="P4" s="242"/>
      <c r="Q4" s="242"/>
      <c r="R4" s="242"/>
      <c r="S4" s="242"/>
      <c r="T4" s="243"/>
      <c r="U4" s="25"/>
      <c r="V4" s="1"/>
      <c r="W4" s="1"/>
    </row>
    <row r="5" spans="1:23" ht="17.25">
      <c r="A5" s="28">
        <v>0</v>
      </c>
      <c r="B5" s="28">
        <v>0.1</v>
      </c>
      <c r="C5" s="30">
        <v>223</v>
      </c>
      <c r="D5" s="31" t="s">
        <v>21</v>
      </c>
      <c r="E5" s="36" t="s">
        <v>34</v>
      </c>
      <c r="F5" s="31" t="s">
        <v>19</v>
      </c>
      <c r="G5" s="33">
        <v>10000</v>
      </c>
      <c r="H5" s="31" t="s">
        <v>20</v>
      </c>
      <c r="I5" s="34">
        <v>361</v>
      </c>
      <c r="J5" s="25">
        <f>INT('格付け'!$J$15*data3!C5/data3!G5+data3!I5)</f>
        <v>361</v>
      </c>
      <c r="K5" s="1"/>
      <c r="L5" s="28">
        <v>0</v>
      </c>
      <c r="M5" s="28">
        <v>0.1</v>
      </c>
      <c r="N5" s="30">
        <v>78</v>
      </c>
      <c r="O5" s="31" t="s">
        <v>21</v>
      </c>
      <c r="P5" s="36" t="s">
        <v>34</v>
      </c>
      <c r="Q5" s="31" t="s">
        <v>19</v>
      </c>
      <c r="R5" s="33">
        <v>10000</v>
      </c>
      <c r="S5" s="31" t="s">
        <v>20</v>
      </c>
      <c r="T5" s="34">
        <v>547</v>
      </c>
      <c r="U5" s="25">
        <f>INT('格付け'!$J$16*data3!N5/data3!R5+data3!T5)</f>
        <v>547</v>
      </c>
      <c r="V5" s="1"/>
      <c r="W5" s="1"/>
    </row>
    <row r="6" spans="1:23" ht="17.25">
      <c r="A6" s="29">
        <v>0.1</v>
      </c>
      <c r="B6" s="29">
        <v>0.12</v>
      </c>
      <c r="C6" s="30">
        <v>8</v>
      </c>
      <c r="D6" s="31" t="s">
        <v>21</v>
      </c>
      <c r="E6" s="36" t="s">
        <v>34</v>
      </c>
      <c r="F6" s="31" t="s">
        <v>19</v>
      </c>
      <c r="G6" s="33">
        <v>2000</v>
      </c>
      <c r="H6" s="31" t="s">
        <v>20</v>
      </c>
      <c r="I6" s="34">
        <v>544</v>
      </c>
      <c r="J6" s="25">
        <f>INT('格付け'!$J$15*data3!C6/data3!G6+data3!I6)</f>
        <v>544</v>
      </c>
      <c r="K6" s="1"/>
      <c r="L6" s="29">
        <v>0.1</v>
      </c>
      <c r="M6" s="29">
        <v>0.12</v>
      </c>
      <c r="N6" s="30">
        <v>6</v>
      </c>
      <c r="O6" s="31" t="s">
        <v>21</v>
      </c>
      <c r="P6" s="36" t="s">
        <v>34</v>
      </c>
      <c r="Q6" s="31" t="s">
        <v>19</v>
      </c>
      <c r="R6" s="33">
        <v>2000</v>
      </c>
      <c r="S6" s="31" t="s">
        <v>20</v>
      </c>
      <c r="T6" s="34">
        <v>595</v>
      </c>
      <c r="U6" s="25">
        <f>INT('格付け'!$J$16*data3!N6/data3!R6+data3!T6)</f>
        <v>595</v>
      </c>
      <c r="V6" s="1"/>
      <c r="W6" s="1"/>
    </row>
    <row r="7" spans="1:23" ht="17.25">
      <c r="A7" s="29">
        <v>0.12</v>
      </c>
      <c r="B7" s="29">
        <v>0.15</v>
      </c>
      <c r="C7" s="30">
        <v>11</v>
      </c>
      <c r="D7" s="31" t="s">
        <v>21</v>
      </c>
      <c r="E7" s="36" t="s">
        <v>34</v>
      </c>
      <c r="F7" s="31" t="s">
        <v>19</v>
      </c>
      <c r="G7" s="33">
        <v>3000</v>
      </c>
      <c r="H7" s="31" t="s">
        <v>20</v>
      </c>
      <c r="I7" s="34">
        <v>548</v>
      </c>
      <c r="J7" s="25">
        <f>INT('格付け'!$J$15*data3!C7/data3!G7+data3!I7)</f>
        <v>548</v>
      </c>
      <c r="K7" s="1"/>
      <c r="L7" s="29">
        <v>0.12</v>
      </c>
      <c r="M7" s="29">
        <v>0.15</v>
      </c>
      <c r="N7" s="30">
        <v>7</v>
      </c>
      <c r="O7" s="31" t="s">
        <v>21</v>
      </c>
      <c r="P7" s="36" t="s">
        <v>34</v>
      </c>
      <c r="Q7" s="31" t="s">
        <v>19</v>
      </c>
      <c r="R7" s="33">
        <v>3000</v>
      </c>
      <c r="S7" s="31" t="s">
        <v>20</v>
      </c>
      <c r="T7" s="34">
        <v>603</v>
      </c>
      <c r="U7" s="25">
        <f>INT('格付け'!$J$16*data3!N7/data3!R7+data3!T7)</f>
        <v>603</v>
      </c>
      <c r="V7" s="1"/>
      <c r="W7" s="1"/>
    </row>
    <row r="8" spans="1:23" ht="17.25">
      <c r="A8" s="29">
        <v>0.15</v>
      </c>
      <c r="B8" s="29">
        <v>0.2</v>
      </c>
      <c r="C8" s="30">
        <v>14</v>
      </c>
      <c r="D8" s="31" t="s">
        <v>21</v>
      </c>
      <c r="E8" s="36" t="s">
        <v>34</v>
      </c>
      <c r="F8" s="31" t="s">
        <v>19</v>
      </c>
      <c r="G8" s="33">
        <v>5000</v>
      </c>
      <c r="H8" s="31" t="s">
        <v>20</v>
      </c>
      <c r="I8" s="34">
        <v>561</v>
      </c>
      <c r="J8" s="25">
        <f>INT('格付け'!$J$15*data3!C8/data3!G8+data3!I8)</f>
        <v>561</v>
      </c>
      <c r="K8" s="1"/>
      <c r="L8" s="29">
        <v>0.15</v>
      </c>
      <c r="M8" s="29">
        <v>0.2</v>
      </c>
      <c r="N8" s="30">
        <v>11</v>
      </c>
      <c r="O8" s="31" t="s">
        <v>21</v>
      </c>
      <c r="P8" s="36" t="s">
        <v>34</v>
      </c>
      <c r="Q8" s="31" t="s">
        <v>19</v>
      </c>
      <c r="R8" s="33">
        <v>5000</v>
      </c>
      <c r="S8" s="31" t="s">
        <v>20</v>
      </c>
      <c r="T8" s="34">
        <v>605</v>
      </c>
      <c r="U8" s="25">
        <f>INT('格付け'!$J$16*data3!N8/data3!R8+data3!T8)</f>
        <v>605</v>
      </c>
      <c r="V8" s="1"/>
      <c r="W8" s="1"/>
    </row>
    <row r="9" spans="1:23" ht="17.25">
      <c r="A9" s="29">
        <v>0.2</v>
      </c>
      <c r="B9" s="29">
        <v>0.25</v>
      </c>
      <c r="C9" s="30">
        <v>12</v>
      </c>
      <c r="D9" s="31" t="s">
        <v>21</v>
      </c>
      <c r="E9" s="36" t="s">
        <v>34</v>
      </c>
      <c r="F9" s="31" t="s">
        <v>19</v>
      </c>
      <c r="G9" s="33">
        <v>5000</v>
      </c>
      <c r="H9" s="31" t="s">
        <v>20</v>
      </c>
      <c r="I9" s="34">
        <v>569</v>
      </c>
      <c r="J9" s="25">
        <f>INT('格付け'!$J$15*data3!C9/data3!G9+data3!I9)</f>
        <v>569</v>
      </c>
      <c r="K9" s="1"/>
      <c r="L9" s="29">
        <v>0.2</v>
      </c>
      <c r="M9" s="29">
        <v>0.25</v>
      </c>
      <c r="N9" s="30">
        <v>10</v>
      </c>
      <c r="O9" s="31" t="s">
        <v>21</v>
      </c>
      <c r="P9" s="36" t="s">
        <v>34</v>
      </c>
      <c r="Q9" s="31" t="s">
        <v>19</v>
      </c>
      <c r="R9" s="33">
        <v>5000</v>
      </c>
      <c r="S9" s="31" t="s">
        <v>20</v>
      </c>
      <c r="T9" s="34">
        <v>609</v>
      </c>
      <c r="U9" s="25">
        <f>INT('格付け'!$J$16*data3!N9/data3!R9+data3!T9)</f>
        <v>609</v>
      </c>
      <c r="V9" s="1"/>
      <c r="W9" s="1"/>
    </row>
    <row r="10" spans="1:23" ht="17.25">
      <c r="A10" s="29">
        <v>0.25</v>
      </c>
      <c r="B10" s="29">
        <v>0.3</v>
      </c>
      <c r="C10" s="30">
        <v>10</v>
      </c>
      <c r="D10" s="31" t="s">
        <v>21</v>
      </c>
      <c r="E10" s="36" t="s">
        <v>34</v>
      </c>
      <c r="F10" s="31" t="s">
        <v>19</v>
      </c>
      <c r="G10" s="33">
        <v>5000</v>
      </c>
      <c r="H10" s="31" t="s">
        <v>20</v>
      </c>
      <c r="I10" s="34">
        <v>579</v>
      </c>
      <c r="J10" s="25">
        <f>INT('格付け'!$J$15*data3!C10/data3!G10+data3!I10)</f>
        <v>579</v>
      </c>
      <c r="K10" s="1"/>
      <c r="L10" s="29">
        <v>0.25</v>
      </c>
      <c r="M10" s="29">
        <v>0.3</v>
      </c>
      <c r="N10" s="30">
        <v>8</v>
      </c>
      <c r="O10" s="31" t="s">
        <v>21</v>
      </c>
      <c r="P10" s="36" t="s">
        <v>34</v>
      </c>
      <c r="Q10" s="31" t="s">
        <v>19</v>
      </c>
      <c r="R10" s="33">
        <v>5000</v>
      </c>
      <c r="S10" s="31" t="s">
        <v>20</v>
      </c>
      <c r="T10" s="34">
        <v>619</v>
      </c>
      <c r="U10" s="25">
        <f>INT('格付け'!$J$16*data3!N10/data3!R10+data3!T10)</f>
        <v>619</v>
      </c>
      <c r="V10" s="1"/>
      <c r="W10" s="1"/>
    </row>
    <row r="11" spans="1:23" ht="17.25">
      <c r="A11" s="29">
        <v>0.3</v>
      </c>
      <c r="B11" s="29">
        <v>0.4</v>
      </c>
      <c r="C11" s="30">
        <v>16</v>
      </c>
      <c r="D11" s="31" t="s">
        <v>21</v>
      </c>
      <c r="E11" s="36" t="s">
        <v>34</v>
      </c>
      <c r="F11" s="31" t="s">
        <v>19</v>
      </c>
      <c r="G11" s="33">
        <v>10000</v>
      </c>
      <c r="H11" s="31" t="s">
        <v>20</v>
      </c>
      <c r="I11" s="34">
        <v>591</v>
      </c>
      <c r="J11" s="25">
        <f>INT('格付け'!$J$15*data3!C11/data3!G11+data3!I11)</f>
        <v>591</v>
      </c>
      <c r="K11" s="1"/>
      <c r="L11" s="29">
        <v>0.3</v>
      </c>
      <c r="M11" s="29">
        <v>0.4</v>
      </c>
      <c r="N11" s="30">
        <v>15</v>
      </c>
      <c r="O11" s="31" t="s">
        <v>21</v>
      </c>
      <c r="P11" s="36" t="s">
        <v>34</v>
      </c>
      <c r="Q11" s="31" t="s">
        <v>19</v>
      </c>
      <c r="R11" s="33">
        <v>10000</v>
      </c>
      <c r="S11" s="31" t="s">
        <v>20</v>
      </c>
      <c r="T11" s="34">
        <v>622</v>
      </c>
      <c r="U11" s="25">
        <f>INT('格付け'!$J$16*data3!N11/data3!R11+data3!T11)</f>
        <v>622</v>
      </c>
      <c r="V11" s="1"/>
      <c r="W11" s="1"/>
    </row>
    <row r="12" spans="1:23" ht="17.25">
      <c r="A12" s="29">
        <v>0.4</v>
      </c>
      <c r="B12" s="29">
        <v>0.5</v>
      </c>
      <c r="C12" s="30">
        <v>14</v>
      </c>
      <c r="D12" s="31" t="s">
        <v>21</v>
      </c>
      <c r="E12" s="36" t="s">
        <v>34</v>
      </c>
      <c r="F12" s="31" t="s">
        <v>19</v>
      </c>
      <c r="G12" s="33">
        <v>10000</v>
      </c>
      <c r="H12" s="31" t="s">
        <v>20</v>
      </c>
      <c r="I12" s="34">
        <v>599</v>
      </c>
      <c r="J12" s="25">
        <f>INT('格付け'!$J$15*data3!C12/data3!G12+data3!I12)</f>
        <v>599</v>
      </c>
      <c r="K12" s="1"/>
      <c r="L12" s="29">
        <v>0.4</v>
      </c>
      <c r="M12" s="29">
        <v>0.5</v>
      </c>
      <c r="N12" s="30">
        <v>12</v>
      </c>
      <c r="O12" s="31" t="s">
        <v>21</v>
      </c>
      <c r="P12" s="36" t="s">
        <v>34</v>
      </c>
      <c r="Q12" s="31" t="s">
        <v>19</v>
      </c>
      <c r="R12" s="33">
        <v>10000</v>
      </c>
      <c r="S12" s="31" t="s">
        <v>20</v>
      </c>
      <c r="T12" s="34">
        <v>634</v>
      </c>
      <c r="U12" s="25">
        <f>INT('格付け'!$J$16*data3!N12/data3!R12+data3!T12)</f>
        <v>634</v>
      </c>
      <c r="V12" s="1"/>
      <c r="W12" s="1"/>
    </row>
    <row r="13" spans="1:23" ht="17.25">
      <c r="A13" s="29">
        <v>0.5</v>
      </c>
      <c r="B13" s="29">
        <v>0.6</v>
      </c>
      <c r="C13" s="30">
        <v>11</v>
      </c>
      <c r="D13" s="31" t="s">
        <v>21</v>
      </c>
      <c r="E13" s="36" t="s">
        <v>34</v>
      </c>
      <c r="F13" s="31" t="s">
        <v>19</v>
      </c>
      <c r="G13" s="33">
        <v>10000</v>
      </c>
      <c r="H13" s="31" t="s">
        <v>20</v>
      </c>
      <c r="I13" s="34">
        <v>614</v>
      </c>
      <c r="J13" s="25">
        <f>INT('格付け'!$J$15*data3!C13/data3!G13+data3!I13)</f>
        <v>614</v>
      </c>
      <c r="K13" s="1"/>
      <c r="L13" s="29">
        <v>0.5</v>
      </c>
      <c r="M13" s="29">
        <v>0.6</v>
      </c>
      <c r="N13" s="30">
        <v>12</v>
      </c>
      <c r="O13" s="31" t="s">
        <v>21</v>
      </c>
      <c r="P13" s="36" t="s">
        <v>34</v>
      </c>
      <c r="Q13" s="31" t="s">
        <v>19</v>
      </c>
      <c r="R13" s="33">
        <v>10000</v>
      </c>
      <c r="S13" s="31" t="s">
        <v>20</v>
      </c>
      <c r="T13" s="34">
        <v>634</v>
      </c>
      <c r="U13" s="25">
        <f>INT('格付け'!$J$16*data3!N13/data3!R13+data3!T13)</f>
        <v>634</v>
      </c>
      <c r="V13" s="1"/>
      <c r="W13" s="1"/>
    </row>
    <row r="14" spans="1:23" ht="17.25">
      <c r="A14" s="29">
        <v>0.6</v>
      </c>
      <c r="B14" s="29">
        <v>0.8</v>
      </c>
      <c r="C14" s="30">
        <v>19</v>
      </c>
      <c r="D14" s="31" t="s">
        <v>21</v>
      </c>
      <c r="E14" s="36" t="s">
        <v>34</v>
      </c>
      <c r="F14" s="31" t="s">
        <v>19</v>
      </c>
      <c r="G14" s="33">
        <v>20000</v>
      </c>
      <c r="H14" s="31" t="s">
        <v>20</v>
      </c>
      <c r="I14" s="34">
        <v>623</v>
      </c>
      <c r="J14" s="25">
        <f>INT('格付け'!$J$15*data3!C14/data3!G14+data3!I14)</f>
        <v>623</v>
      </c>
      <c r="K14" s="1"/>
      <c r="L14" s="29">
        <v>0.6</v>
      </c>
      <c r="M14" s="29">
        <v>0.8</v>
      </c>
      <c r="N14" s="30">
        <v>19</v>
      </c>
      <c r="O14" s="31" t="s">
        <v>21</v>
      </c>
      <c r="P14" s="36" t="s">
        <v>34</v>
      </c>
      <c r="Q14" s="31" t="s">
        <v>19</v>
      </c>
      <c r="R14" s="33">
        <v>20000</v>
      </c>
      <c r="S14" s="31" t="s">
        <v>20</v>
      </c>
      <c r="T14" s="34">
        <v>649</v>
      </c>
      <c r="U14" s="25">
        <f>INT('格付け'!$J$16*data3!N14/data3!R14+data3!T14)</f>
        <v>649</v>
      </c>
      <c r="V14" s="1"/>
      <c r="W14" s="1"/>
    </row>
    <row r="15" spans="1:23" ht="17.25">
      <c r="A15" s="29">
        <v>0.8</v>
      </c>
      <c r="B15" s="29">
        <v>1</v>
      </c>
      <c r="C15" s="30">
        <v>16</v>
      </c>
      <c r="D15" s="31" t="s">
        <v>21</v>
      </c>
      <c r="E15" s="36" t="s">
        <v>34</v>
      </c>
      <c r="F15" s="31" t="s">
        <v>19</v>
      </c>
      <c r="G15" s="33">
        <v>20000</v>
      </c>
      <c r="H15" s="31" t="s">
        <v>20</v>
      </c>
      <c r="I15" s="34">
        <v>635</v>
      </c>
      <c r="J15" s="25">
        <f>INT('格付け'!$J$15*data3!C15/data3!G15+data3!I15)</f>
        <v>635</v>
      </c>
      <c r="K15" s="1"/>
      <c r="L15" s="29">
        <v>0.8</v>
      </c>
      <c r="M15" s="29">
        <v>1</v>
      </c>
      <c r="N15" s="30">
        <v>16</v>
      </c>
      <c r="O15" s="31" t="s">
        <v>21</v>
      </c>
      <c r="P15" s="36" t="s">
        <v>34</v>
      </c>
      <c r="Q15" s="31" t="s">
        <v>19</v>
      </c>
      <c r="R15" s="33">
        <v>20000</v>
      </c>
      <c r="S15" s="31" t="s">
        <v>20</v>
      </c>
      <c r="T15" s="34">
        <v>661</v>
      </c>
      <c r="U15" s="25">
        <f>INT('格付け'!$J$16*data3!N15/data3!R15+data3!T15)</f>
        <v>661</v>
      </c>
      <c r="V15" s="1"/>
      <c r="W15" s="1"/>
    </row>
    <row r="16" spans="1:23" ht="17.25">
      <c r="A16" s="29">
        <v>1</v>
      </c>
      <c r="B16" s="29">
        <v>1.2</v>
      </c>
      <c r="C16" s="30">
        <v>13</v>
      </c>
      <c r="D16" s="31" t="s">
        <v>21</v>
      </c>
      <c r="E16" s="36" t="s">
        <v>34</v>
      </c>
      <c r="F16" s="31" t="s">
        <v>19</v>
      </c>
      <c r="G16" s="33">
        <v>20000</v>
      </c>
      <c r="H16" s="31" t="s">
        <v>20</v>
      </c>
      <c r="I16" s="34">
        <v>650</v>
      </c>
      <c r="J16" s="25">
        <f>INT('格付け'!$J$15*data3!C16/data3!G16+data3!I16)</f>
        <v>650</v>
      </c>
      <c r="K16" s="1"/>
      <c r="L16" s="29">
        <v>1</v>
      </c>
      <c r="M16" s="29">
        <v>1.2</v>
      </c>
      <c r="N16" s="30">
        <v>15</v>
      </c>
      <c r="O16" s="31" t="s">
        <v>21</v>
      </c>
      <c r="P16" s="36" t="s">
        <v>34</v>
      </c>
      <c r="Q16" s="31" t="s">
        <v>19</v>
      </c>
      <c r="R16" s="33">
        <v>20000</v>
      </c>
      <c r="S16" s="31" t="s">
        <v>20</v>
      </c>
      <c r="T16" s="34">
        <v>666</v>
      </c>
      <c r="U16" s="25">
        <f>INT('格付け'!$J$16*data3!N16/data3!R16+data3!T16)</f>
        <v>666</v>
      </c>
      <c r="V16" s="1"/>
      <c r="W16" s="1"/>
    </row>
    <row r="17" spans="1:23" ht="17.25">
      <c r="A17" s="29">
        <v>1.2</v>
      </c>
      <c r="B17" s="29">
        <v>1.5</v>
      </c>
      <c r="C17" s="30">
        <v>16</v>
      </c>
      <c r="D17" s="31" t="s">
        <v>21</v>
      </c>
      <c r="E17" s="36" t="s">
        <v>34</v>
      </c>
      <c r="F17" s="31" t="s">
        <v>19</v>
      </c>
      <c r="G17" s="33">
        <v>30000</v>
      </c>
      <c r="H17" s="31" t="s">
        <v>20</v>
      </c>
      <c r="I17" s="34">
        <v>664</v>
      </c>
      <c r="J17" s="25">
        <f>INT('格付け'!$J$15*data3!C17/data3!G17+data3!I17)</f>
        <v>664</v>
      </c>
      <c r="K17" s="1"/>
      <c r="L17" s="29">
        <v>1.2</v>
      </c>
      <c r="M17" s="29">
        <v>1.5</v>
      </c>
      <c r="N17" s="30">
        <v>20</v>
      </c>
      <c r="O17" s="31" t="s">
        <v>21</v>
      </c>
      <c r="P17" s="36" t="s">
        <v>34</v>
      </c>
      <c r="Q17" s="31" t="s">
        <v>19</v>
      </c>
      <c r="R17" s="33">
        <v>30000</v>
      </c>
      <c r="S17" s="31" t="s">
        <v>20</v>
      </c>
      <c r="T17" s="34">
        <v>676</v>
      </c>
      <c r="U17" s="25">
        <f>INT('格付け'!$J$16*data3!N17/data3!R17+data3!T17)</f>
        <v>676</v>
      </c>
      <c r="V17" s="1"/>
      <c r="W17" s="1"/>
    </row>
    <row r="18" spans="1:23" ht="17.25">
      <c r="A18" s="29">
        <v>1.5</v>
      </c>
      <c r="B18" s="29">
        <v>2</v>
      </c>
      <c r="C18" s="30">
        <v>23</v>
      </c>
      <c r="D18" s="31" t="s">
        <v>21</v>
      </c>
      <c r="E18" s="36" t="s">
        <v>34</v>
      </c>
      <c r="F18" s="31" t="s">
        <v>19</v>
      </c>
      <c r="G18" s="33">
        <v>50000</v>
      </c>
      <c r="H18" s="31" t="s">
        <v>20</v>
      </c>
      <c r="I18" s="34">
        <v>675</v>
      </c>
      <c r="J18" s="25">
        <f>INT('格付け'!$J$15*data3!C18/data3!G18+data3!I18)</f>
        <v>675</v>
      </c>
      <c r="K18" s="1"/>
      <c r="L18" s="29">
        <v>1.5</v>
      </c>
      <c r="M18" s="29">
        <v>2</v>
      </c>
      <c r="N18" s="30">
        <v>27</v>
      </c>
      <c r="O18" s="31" t="s">
        <v>21</v>
      </c>
      <c r="P18" s="36" t="s">
        <v>34</v>
      </c>
      <c r="Q18" s="31" t="s">
        <v>19</v>
      </c>
      <c r="R18" s="33">
        <v>50000</v>
      </c>
      <c r="S18" s="31" t="s">
        <v>20</v>
      </c>
      <c r="T18" s="34">
        <v>695</v>
      </c>
      <c r="U18" s="25">
        <f>INT('格付け'!$J$16*data3!N18/data3!R18+data3!T18)</f>
        <v>695</v>
      </c>
      <c r="V18" s="1"/>
      <c r="W18" s="1"/>
    </row>
    <row r="19" spans="1:23" ht="17.25">
      <c r="A19" s="29">
        <v>2</v>
      </c>
      <c r="B19" s="29">
        <v>2.5</v>
      </c>
      <c r="C19" s="30">
        <v>19</v>
      </c>
      <c r="D19" s="31" t="s">
        <v>21</v>
      </c>
      <c r="E19" s="36" t="s">
        <v>34</v>
      </c>
      <c r="F19" s="31" t="s">
        <v>19</v>
      </c>
      <c r="G19" s="33">
        <v>50000</v>
      </c>
      <c r="H19" s="31" t="s">
        <v>20</v>
      </c>
      <c r="I19" s="34">
        <v>691</v>
      </c>
      <c r="J19" s="25">
        <f>INT('格付け'!$J$15*data3!C19/data3!G19+data3!I19)</f>
        <v>691</v>
      </c>
      <c r="K19" s="1"/>
      <c r="L19" s="29">
        <v>2</v>
      </c>
      <c r="M19" s="29">
        <v>2.5</v>
      </c>
      <c r="N19" s="30">
        <v>24</v>
      </c>
      <c r="O19" s="31" t="s">
        <v>21</v>
      </c>
      <c r="P19" s="36" t="s">
        <v>34</v>
      </c>
      <c r="Q19" s="31" t="s">
        <v>19</v>
      </c>
      <c r="R19" s="33">
        <v>50000</v>
      </c>
      <c r="S19" s="31" t="s">
        <v>20</v>
      </c>
      <c r="T19" s="34">
        <v>707</v>
      </c>
      <c r="U19" s="25">
        <f>INT('格付け'!$J$16*data3!N19/data3!R19+data3!T19)</f>
        <v>707</v>
      </c>
      <c r="V19" s="1"/>
      <c r="W19" s="1"/>
    </row>
    <row r="20" spans="1:23" ht="17.25">
      <c r="A20" s="29">
        <v>2.5</v>
      </c>
      <c r="B20" s="29">
        <v>3</v>
      </c>
      <c r="C20" s="30">
        <v>15</v>
      </c>
      <c r="D20" s="31" t="s">
        <v>21</v>
      </c>
      <c r="E20" s="36" t="s">
        <v>34</v>
      </c>
      <c r="F20" s="31" t="s">
        <v>19</v>
      </c>
      <c r="G20" s="33">
        <v>50000</v>
      </c>
      <c r="H20" s="31" t="s">
        <v>20</v>
      </c>
      <c r="I20" s="34">
        <v>711</v>
      </c>
      <c r="J20" s="25">
        <f>INT('格付け'!$J$15*data3!C20/data3!G20+data3!I20)</f>
        <v>711</v>
      </c>
      <c r="K20" s="1"/>
      <c r="L20" s="29">
        <v>2.5</v>
      </c>
      <c r="M20" s="29">
        <v>3</v>
      </c>
      <c r="N20" s="30">
        <v>21</v>
      </c>
      <c r="O20" s="31" t="s">
        <v>21</v>
      </c>
      <c r="P20" s="36" t="s">
        <v>34</v>
      </c>
      <c r="Q20" s="31" t="s">
        <v>19</v>
      </c>
      <c r="R20" s="33">
        <v>50000</v>
      </c>
      <c r="S20" s="31" t="s">
        <v>20</v>
      </c>
      <c r="T20" s="34">
        <v>722</v>
      </c>
      <c r="U20" s="25">
        <f>INT('格付け'!$J$16*data3!N20/data3!R20+data3!T20)</f>
        <v>722</v>
      </c>
      <c r="V20" s="1"/>
      <c r="W20" s="1"/>
    </row>
    <row r="21" spans="1:23" ht="17.25">
      <c r="A21" s="29">
        <v>3</v>
      </c>
      <c r="B21" s="29">
        <v>4</v>
      </c>
      <c r="C21" s="30">
        <v>27</v>
      </c>
      <c r="D21" s="31" t="s">
        <v>21</v>
      </c>
      <c r="E21" s="36" t="s">
        <v>34</v>
      </c>
      <c r="F21" s="31" t="s">
        <v>19</v>
      </c>
      <c r="G21" s="33">
        <v>100000</v>
      </c>
      <c r="H21" s="31" t="s">
        <v>20</v>
      </c>
      <c r="I21" s="34">
        <v>720</v>
      </c>
      <c r="J21" s="25">
        <f>INT('格付け'!$J$15*data3!C21/data3!G21+data3!I21)</f>
        <v>720</v>
      </c>
      <c r="K21" s="1"/>
      <c r="L21" s="29">
        <v>3</v>
      </c>
      <c r="M21" s="29">
        <v>4</v>
      </c>
      <c r="N21" s="30">
        <v>37</v>
      </c>
      <c r="O21" s="31" t="s">
        <v>21</v>
      </c>
      <c r="P21" s="36" t="s">
        <v>34</v>
      </c>
      <c r="Q21" s="31" t="s">
        <v>19</v>
      </c>
      <c r="R21" s="33">
        <v>100000</v>
      </c>
      <c r="S21" s="31" t="s">
        <v>20</v>
      </c>
      <c r="T21" s="34">
        <v>737</v>
      </c>
      <c r="U21" s="25">
        <f>INT('格付け'!$J$16*data3!N21/data3!R21+data3!T21)</f>
        <v>737</v>
      </c>
      <c r="V21" s="1"/>
      <c r="W21" s="1"/>
    </row>
    <row r="22" spans="1:23" ht="17.25">
      <c r="A22" s="29">
        <v>4</v>
      </c>
      <c r="B22" s="29">
        <v>5</v>
      </c>
      <c r="C22" s="30">
        <v>21</v>
      </c>
      <c r="D22" s="31" t="s">
        <v>21</v>
      </c>
      <c r="E22" s="36" t="s">
        <v>34</v>
      </c>
      <c r="F22" s="31" t="s">
        <v>19</v>
      </c>
      <c r="G22" s="33">
        <v>100000</v>
      </c>
      <c r="H22" s="31" t="s">
        <v>20</v>
      </c>
      <c r="I22" s="34">
        <v>744</v>
      </c>
      <c r="J22" s="25">
        <f>INT('格付け'!$J$15*data3!C22/data3!G22+data3!I22)</f>
        <v>744</v>
      </c>
      <c r="K22" s="1"/>
      <c r="L22" s="29">
        <v>4</v>
      </c>
      <c r="M22" s="29">
        <v>5</v>
      </c>
      <c r="N22" s="30">
        <v>32</v>
      </c>
      <c r="O22" s="31" t="s">
        <v>21</v>
      </c>
      <c r="P22" s="36" t="s">
        <v>34</v>
      </c>
      <c r="Q22" s="31" t="s">
        <v>19</v>
      </c>
      <c r="R22" s="33">
        <v>100000</v>
      </c>
      <c r="S22" s="31" t="s">
        <v>20</v>
      </c>
      <c r="T22" s="34">
        <v>757</v>
      </c>
      <c r="U22" s="25">
        <f>INT('格付け'!$J$16*data3!N22/data3!R22+data3!T22)</f>
        <v>757</v>
      </c>
      <c r="V22" s="1"/>
      <c r="W22" s="1"/>
    </row>
    <row r="23" spans="1:23" ht="17.25">
      <c r="A23" s="29">
        <v>5</v>
      </c>
      <c r="B23" s="29">
        <v>6</v>
      </c>
      <c r="C23" s="30">
        <v>18</v>
      </c>
      <c r="D23" s="31" t="s">
        <v>21</v>
      </c>
      <c r="E23" s="36" t="s">
        <v>34</v>
      </c>
      <c r="F23" s="31" t="s">
        <v>19</v>
      </c>
      <c r="G23" s="33">
        <v>100000</v>
      </c>
      <c r="H23" s="31" t="s">
        <v>20</v>
      </c>
      <c r="I23" s="34">
        <v>759</v>
      </c>
      <c r="J23" s="25">
        <f>INT('格付け'!$J$15*data3!C23/data3!G23+data3!I23)</f>
        <v>759</v>
      </c>
      <c r="K23" s="1"/>
      <c r="L23" s="29">
        <v>5</v>
      </c>
      <c r="M23" s="29">
        <v>6</v>
      </c>
      <c r="N23" s="30">
        <v>28</v>
      </c>
      <c r="O23" s="31" t="s">
        <v>21</v>
      </c>
      <c r="P23" s="36" t="s">
        <v>34</v>
      </c>
      <c r="Q23" s="31" t="s">
        <v>19</v>
      </c>
      <c r="R23" s="33">
        <v>100000</v>
      </c>
      <c r="S23" s="31" t="s">
        <v>20</v>
      </c>
      <c r="T23" s="34">
        <v>777</v>
      </c>
      <c r="U23" s="25">
        <f>INT('格付け'!$J$16*data3!N23/data3!R23+data3!T23)</f>
        <v>777</v>
      </c>
      <c r="V23" s="1"/>
      <c r="W23" s="1"/>
    </row>
    <row r="24" spans="1:23" ht="17.25">
      <c r="A24" s="29">
        <v>6</v>
      </c>
      <c r="B24" s="29">
        <v>8</v>
      </c>
      <c r="C24" s="30">
        <v>30</v>
      </c>
      <c r="D24" s="31" t="s">
        <v>21</v>
      </c>
      <c r="E24" s="36" t="s">
        <v>34</v>
      </c>
      <c r="F24" s="31" t="s">
        <v>19</v>
      </c>
      <c r="G24" s="33">
        <v>200000</v>
      </c>
      <c r="H24" s="31" t="s">
        <v>20</v>
      </c>
      <c r="I24" s="34">
        <v>777</v>
      </c>
      <c r="J24" s="25">
        <f>INT('格付け'!$J$15*data3!C24/data3!G24+data3!I24)</f>
        <v>777</v>
      </c>
      <c r="K24" s="1"/>
      <c r="L24" s="29">
        <v>6</v>
      </c>
      <c r="M24" s="29">
        <v>8</v>
      </c>
      <c r="N24" s="30">
        <v>48</v>
      </c>
      <c r="O24" s="31" t="s">
        <v>21</v>
      </c>
      <c r="P24" s="36" t="s">
        <v>34</v>
      </c>
      <c r="Q24" s="31" t="s">
        <v>19</v>
      </c>
      <c r="R24" s="33">
        <v>200000</v>
      </c>
      <c r="S24" s="31" t="s">
        <v>20</v>
      </c>
      <c r="T24" s="34">
        <v>801</v>
      </c>
      <c r="U24" s="25">
        <f>INT('格付け'!$J$16*data3!N24/data3!R24+data3!T24)</f>
        <v>801</v>
      </c>
      <c r="V24" s="1"/>
      <c r="W24" s="1"/>
    </row>
    <row r="25" spans="1:23" ht="17.25">
      <c r="A25" s="29">
        <v>8</v>
      </c>
      <c r="B25" s="29">
        <v>10</v>
      </c>
      <c r="C25" s="30">
        <v>24</v>
      </c>
      <c r="D25" s="31" t="s">
        <v>21</v>
      </c>
      <c r="E25" s="36" t="s">
        <v>34</v>
      </c>
      <c r="F25" s="31" t="s">
        <v>19</v>
      </c>
      <c r="G25" s="33">
        <v>200000</v>
      </c>
      <c r="H25" s="31" t="s">
        <v>20</v>
      </c>
      <c r="I25" s="34">
        <v>801</v>
      </c>
      <c r="J25" s="25">
        <f>INT('格付け'!$J$15*data3!C25/data3!G25+data3!I25)</f>
        <v>801</v>
      </c>
      <c r="K25" s="1"/>
      <c r="L25" s="29">
        <v>8</v>
      </c>
      <c r="M25" s="29">
        <v>10</v>
      </c>
      <c r="N25" s="30">
        <v>42</v>
      </c>
      <c r="O25" s="31" t="s">
        <v>21</v>
      </c>
      <c r="P25" s="36" t="s">
        <v>34</v>
      </c>
      <c r="Q25" s="31" t="s">
        <v>19</v>
      </c>
      <c r="R25" s="33">
        <v>200000</v>
      </c>
      <c r="S25" s="31" t="s">
        <v>20</v>
      </c>
      <c r="T25" s="34">
        <v>825</v>
      </c>
      <c r="U25" s="25">
        <f>INT('格付け'!$J$16*data3!N25/data3!R25+data3!T25)</f>
        <v>825</v>
      </c>
      <c r="V25" s="1"/>
      <c r="W25" s="1"/>
    </row>
    <row r="26" spans="1:23" ht="17.25">
      <c r="A26" s="29">
        <v>10</v>
      </c>
      <c r="B26" s="29">
        <v>12</v>
      </c>
      <c r="C26" s="30">
        <v>21</v>
      </c>
      <c r="D26" s="31" t="s">
        <v>21</v>
      </c>
      <c r="E26" s="36" t="s">
        <v>34</v>
      </c>
      <c r="F26" s="31" t="s">
        <v>19</v>
      </c>
      <c r="G26" s="33">
        <v>200000</v>
      </c>
      <c r="H26" s="31" t="s">
        <v>20</v>
      </c>
      <c r="I26" s="34">
        <v>816</v>
      </c>
      <c r="J26" s="25">
        <f>INT('格付け'!$J$15*data3!C26/data3!G26+data3!I26)</f>
        <v>816</v>
      </c>
      <c r="K26" s="1"/>
      <c r="L26" s="29">
        <v>10</v>
      </c>
      <c r="M26" s="29">
        <v>12</v>
      </c>
      <c r="N26" s="30">
        <v>37</v>
      </c>
      <c r="O26" s="31" t="s">
        <v>21</v>
      </c>
      <c r="P26" s="36" t="s">
        <v>34</v>
      </c>
      <c r="Q26" s="31" t="s">
        <v>19</v>
      </c>
      <c r="R26" s="33">
        <v>200000</v>
      </c>
      <c r="S26" s="31" t="s">
        <v>20</v>
      </c>
      <c r="T26" s="34">
        <v>850</v>
      </c>
      <c r="U26" s="25">
        <f>INT('格付け'!$J$16*data3!N26/data3!R26+data3!T26)</f>
        <v>850</v>
      </c>
      <c r="V26" s="1"/>
      <c r="W26" s="1"/>
    </row>
    <row r="27" spans="1:23" ht="17.25">
      <c r="A27" s="29">
        <v>12</v>
      </c>
      <c r="B27" s="29">
        <v>15</v>
      </c>
      <c r="C27" s="30">
        <v>27</v>
      </c>
      <c r="D27" s="31" t="s">
        <v>21</v>
      </c>
      <c r="E27" s="36" t="s">
        <v>34</v>
      </c>
      <c r="F27" s="31" t="s">
        <v>19</v>
      </c>
      <c r="G27" s="33">
        <v>300000</v>
      </c>
      <c r="H27" s="31" t="s">
        <v>20</v>
      </c>
      <c r="I27" s="34">
        <v>834</v>
      </c>
      <c r="J27" s="25">
        <f>INT('格付け'!$J$15*data3!C27/data3!G27+data3!I27)</f>
        <v>834</v>
      </c>
      <c r="K27" s="1"/>
      <c r="L27" s="29">
        <v>12</v>
      </c>
      <c r="M27" s="29">
        <v>15</v>
      </c>
      <c r="N27" s="30">
        <v>48</v>
      </c>
      <c r="O27" s="31" t="s">
        <v>21</v>
      </c>
      <c r="P27" s="36" t="s">
        <v>34</v>
      </c>
      <c r="Q27" s="31" t="s">
        <v>19</v>
      </c>
      <c r="R27" s="33">
        <v>300000</v>
      </c>
      <c r="S27" s="31" t="s">
        <v>20</v>
      </c>
      <c r="T27" s="34">
        <v>880</v>
      </c>
      <c r="U27" s="25">
        <f>INT('格付け'!$J$16*data3!N27/data3!R27+data3!T27)</f>
        <v>880</v>
      </c>
      <c r="V27" s="1"/>
      <c r="W27" s="1"/>
    </row>
    <row r="28" spans="1:23" ht="17.25">
      <c r="A28" s="29">
        <v>15</v>
      </c>
      <c r="B28" s="29">
        <v>20</v>
      </c>
      <c r="C28" s="30">
        <v>36</v>
      </c>
      <c r="D28" s="31" t="s">
        <v>21</v>
      </c>
      <c r="E28" s="36" t="s">
        <v>34</v>
      </c>
      <c r="F28" s="31" t="s">
        <v>19</v>
      </c>
      <c r="G28" s="33">
        <v>500000</v>
      </c>
      <c r="H28" s="31" t="s">
        <v>20</v>
      </c>
      <c r="I28" s="34">
        <v>861</v>
      </c>
      <c r="J28" s="25">
        <f>INT('格付け'!$J$15*data3!C28/data3!G28+data3!I28)</f>
        <v>861</v>
      </c>
      <c r="K28" s="1"/>
      <c r="L28" s="29">
        <v>15</v>
      </c>
      <c r="M28" s="29">
        <v>20</v>
      </c>
      <c r="N28" s="30">
        <v>70</v>
      </c>
      <c r="O28" s="31" t="s">
        <v>21</v>
      </c>
      <c r="P28" s="36" t="s">
        <v>34</v>
      </c>
      <c r="Q28" s="31" t="s">
        <v>19</v>
      </c>
      <c r="R28" s="33">
        <v>500000</v>
      </c>
      <c r="S28" s="31" t="s">
        <v>20</v>
      </c>
      <c r="T28" s="34">
        <v>910</v>
      </c>
      <c r="U28" s="25">
        <f>INT('格付け'!$J$16*data3!N28/data3!R28+data3!T28)</f>
        <v>910</v>
      </c>
      <c r="V28" s="1"/>
      <c r="W28" s="1"/>
    </row>
    <row r="29" spans="1:23" ht="17.25">
      <c r="A29" s="29">
        <v>20</v>
      </c>
      <c r="B29" s="29">
        <v>25</v>
      </c>
      <c r="C29" s="30">
        <v>29</v>
      </c>
      <c r="D29" s="31" t="s">
        <v>21</v>
      </c>
      <c r="E29" s="36" t="s">
        <v>34</v>
      </c>
      <c r="F29" s="31" t="s">
        <v>19</v>
      </c>
      <c r="G29" s="33">
        <v>500000</v>
      </c>
      <c r="H29" s="31" t="s">
        <v>20</v>
      </c>
      <c r="I29" s="34">
        <v>889</v>
      </c>
      <c r="J29" s="25">
        <f>INT('格付け'!$J$15*data3!C29/data3!G29+data3!I29)</f>
        <v>889</v>
      </c>
      <c r="K29" s="1"/>
      <c r="L29" s="29">
        <v>20</v>
      </c>
      <c r="M29" s="29">
        <v>25</v>
      </c>
      <c r="N29" s="30">
        <v>60</v>
      </c>
      <c r="O29" s="31" t="s">
        <v>21</v>
      </c>
      <c r="P29" s="36" t="s">
        <v>34</v>
      </c>
      <c r="Q29" s="31" t="s">
        <v>19</v>
      </c>
      <c r="R29" s="33">
        <v>500000</v>
      </c>
      <c r="S29" s="31" t="s">
        <v>20</v>
      </c>
      <c r="T29" s="34">
        <v>950</v>
      </c>
      <c r="U29" s="25">
        <f>INT('格付け'!$J$16*data3!N29/data3!R29+data3!T29)</f>
        <v>950</v>
      </c>
      <c r="V29" s="1"/>
      <c r="W29" s="1"/>
    </row>
    <row r="30" spans="1:23" ht="17.25">
      <c r="A30" s="29">
        <v>25</v>
      </c>
      <c r="B30" s="29">
        <v>30</v>
      </c>
      <c r="C30" s="30">
        <v>25</v>
      </c>
      <c r="D30" s="31" t="s">
        <v>21</v>
      </c>
      <c r="E30" s="36" t="s">
        <v>34</v>
      </c>
      <c r="F30" s="31" t="s">
        <v>19</v>
      </c>
      <c r="G30" s="33">
        <v>500000</v>
      </c>
      <c r="H30" s="31" t="s">
        <v>20</v>
      </c>
      <c r="I30" s="34">
        <v>909</v>
      </c>
      <c r="J30" s="25">
        <f>INT('格付け'!$J$15*data3!C30/data3!G30+data3!I30)</f>
        <v>909</v>
      </c>
      <c r="K30" s="1"/>
      <c r="L30" s="29">
        <v>25</v>
      </c>
      <c r="M30" s="29">
        <v>30</v>
      </c>
      <c r="N30" s="30">
        <v>54</v>
      </c>
      <c r="O30" s="31" t="s">
        <v>21</v>
      </c>
      <c r="P30" s="36" t="s">
        <v>34</v>
      </c>
      <c r="Q30" s="31" t="s">
        <v>19</v>
      </c>
      <c r="R30" s="33">
        <v>500000</v>
      </c>
      <c r="S30" s="31" t="s">
        <v>20</v>
      </c>
      <c r="T30" s="34">
        <v>980</v>
      </c>
      <c r="U30" s="25">
        <f>INT('格付け'!$J$16*data3!N30/data3!R30+data3!T30)</f>
        <v>980</v>
      </c>
      <c r="V30" s="1"/>
      <c r="W30" s="1"/>
    </row>
    <row r="31" spans="1:23" ht="17.25">
      <c r="A31" s="29">
        <v>30</v>
      </c>
      <c r="B31" s="29">
        <v>40</v>
      </c>
      <c r="C31" s="30">
        <v>41</v>
      </c>
      <c r="D31" s="31" t="s">
        <v>21</v>
      </c>
      <c r="E31" s="36" t="s">
        <v>34</v>
      </c>
      <c r="F31" s="31" t="s">
        <v>19</v>
      </c>
      <c r="G31" s="33">
        <v>1000000</v>
      </c>
      <c r="H31" s="31" t="s">
        <v>20</v>
      </c>
      <c r="I31" s="34">
        <v>936</v>
      </c>
      <c r="J31" s="25">
        <f>INT('格付け'!$J$15*data3!C31/data3!G31+data3!I31)</f>
        <v>936</v>
      </c>
      <c r="K31" s="1"/>
      <c r="L31" s="29">
        <v>30</v>
      </c>
      <c r="M31" s="29">
        <v>40</v>
      </c>
      <c r="N31" s="30">
        <v>92</v>
      </c>
      <c r="O31" s="31" t="s">
        <v>21</v>
      </c>
      <c r="P31" s="36" t="s">
        <v>34</v>
      </c>
      <c r="Q31" s="31" t="s">
        <v>19</v>
      </c>
      <c r="R31" s="33">
        <v>1000000</v>
      </c>
      <c r="S31" s="31" t="s">
        <v>20</v>
      </c>
      <c r="T31" s="34">
        <v>1028</v>
      </c>
      <c r="U31" s="25">
        <f>INT('格付け'!$J$16*data3!N31/data3!R31+data3!T31)</f>
        <v>1028</v>
      </c>
      <c r="V31" s="1"/>
      <c r="W31" s="1"/>
    </row>
    <row r="32" spans="1:23" ht="17.25">
      <c r="A32" s="29">
        <v>40</v>
      </c>
      <c r="B32" s="29">
        <v>50</v>
      </c>
      <c r="C32" s="30">
        <v>34</v>
      </c>
      <c r="D32" s="31" t="s">
        <v>21</v>
      </c>
      <c r="E32" s="36" t="s">
        <v>34</v>
      </c>
      <c r="F32" s="31" t="s">
        <v>19</v>
      </c>
      <c r="G32" s="33">
        <v>1000000</v>
      </c>
      <c r="H32" s="31" t="s">
        <v>20</v>
      </c>
      <c r="I32" s="34">
        <v>964</v>
      </c>
      <c r="J32" s="25">
        <f>INT('格付け'!$J$15*data3!C32/data3!G32+data3!I32)</f>
        <v>964</v>
      </c>
      <c r="K32" s="1"/>
      <c r="L32" s="29">
        <v>40</v>
      </c>
      <c r="M32" s="29">
        <v>50</v>
      </c>
      <c r="N32" s="30">
        <v>79</v>
      </c>
      <c r="O32" s="31" t="s">
        <v>21</v>
      </c>
      <c r="P32" s="36" t="s">
        <v>34</v>
      </c>
      <c r="Q32" s="31" t="s">
        <v>19</v>
      </c>
      <c r="R32" s="33">
        <v>1000000</v>
      </c>
      <c r="S32" s="31" t="s">
        <v>20</v>
      </c>
      <c r="T32" s="34">
        <v>1080</v>
      </c>
      <c r="U32" s="25">
        <f>INT('格付け'!$J$16*data3!N32/data3!R32+data3!T32)</f>
        <v>1080</v>
      </c>
      <c r="V32" s="1"/>
      <c r="W32" s="1"/>
    </row>
    <row r="33" spans="1:23" ht="17.25">
      <c r="A33" s="29">
        <v>50</v>
      </c>
      <c r="B33" s="29">
        <v>60</v>
      </c>
      <c r="C33" s="30">
        <v>29</v>
      </c>
      <c r="D33" s="31" t="s">
        <v>21</v>
      </c>
      <c r="E33" s="36" t="s">
        <v>34</v>
      </c>
      <c r="F33" s="31" t="s">
        <v>19</v>
      </c>
      <c r="G33" s="33">
        <v>1000000</v>
      </c>
      <c r="H33" s="31" t="s">
        <v>20</v>
      </c>
      <c r="I33" s="34">
        <v>989</v>
      </c>
      <c r="J33" s="25">
        <f>INT('格付け'!$J$15*data3!C33/data3!G33+data3!I33)</f>
        <v>989</v>
      </c>
      <c r="K33" s="1"/>
      <c r="L33" s="29">
        <v>50</v>
      </c>
      <c r="M33" s="29">
        <v>60</v>
      </c>
      <c r="N33" s="30">
        <v>70</v>
      </c>
      <c r="O33" s="31" t="s">
        <v>21</v>
      </c>
      <c r="P33" s="36" t="s">
        <v>34</v>
      </c>
      <c r="Q33" s="31" t="s">
        <v>19</v>
      </c>
      <c r="R33" s="33">
        <v>1000000</v>
      </c>
      <c r="S33" s="31" t="s">
        <v>20</v>
      </c>
      <c r="T33" s="34">
        <v>1125</v>
      </c>
      <c r="U33" s="25">
        <f>INT('格付け'!$J$16*data3!N33/data3!R33+data3!T33)</f>
        <v>1125</v>
      </c>
      <c r="V33" s="1"/>
      <c r="W33" s="1"/>
    </row>
    <row r="34" spans="1:23" ht="17.25">
      <c r="A34" s="29">
        <v>60</v>
      </c>
      <c r="B34" s="29">
        <v>80</v>
      </c>
      <c r="C34" s="30">
        <v>47</v>
      </c>
      <c r="D34" s="31" t="s">
        <v>21</v>
      </c>
      <c r="E34" s="36" t="s">
        <v>34</v>
      </c>
      <c r="F34" s="31" t="s">
        <v>19</v>
      </c>
      <c r="G34" s="33">
        <v>2000000</v>
      </c>
      <c r="H34" s="31" t="s">
        <v>20</v>
      </c>
      <c r="I34" s="34">
        <v>1022</v>
      </c>
      <c r="J34" s="25">
        <f>INT('格付け'!$J$15*data3!C34/data3!G34+data3!I34)</f>
        <v>1022</v>
      </c>
      <c r="K34" s="1"/>
      <c r="L34" s="29">
        <v>60</v>
      </c>
      <c r="M34" s="29">
        <v>80</v>
      </c>
      <c r="N34" s="30">
        <v>122</v>
      </c>
      <c r="O34" s="31" t="s">
        <v>21</v>
      </c>
      <c r="P34" s="36" t="s">
        <v>34</v>
      </c>
      <c r="Q34" s="31" t="s">
        <v>19</v>
      </c>
      <c r="R34" s="33">
        <v>2000000</v>
      </c>
      <c r="S34" s="31" t="s">
        <v>20</v>
      </c>
      <c r="T34" s="34">
        <v>1179</v>
      </c>
      <c r="U34" s="25">
        <f>INT('格付け'!$J$16*data3!N34/data3!R34+data3!T34)</f>
        <v>1179</v>
      </c>
      <c r="V34" s="1"/>
      <c r="W34" s="1"/>
    </row>
    <row r="35" spans="1:21" ht="17.25">
      <c r="A35" s="29">
        <v>80</v>
      </c>
      <c r="B35" s="29">
        <v>100</v>
      </c>
      <c r="C35" s="30">
        <v>39</v>
      </c>
      <c r="D35" s="31" t="s">
        <v>21</v>
      </c>
      <c r="E35" s="36" t="s">
        <v>34</v>
      </c>
      <c r="F35" s="31" t="s">
        <v>19</v>
      </c>
      <c r="G35" s="33">
        <v>2000000</v>
      </c>
      <c r="H35" s="31" t="s">
        <v>20</v>
      </c>
      <c r="I35" s="34">
        <v>1054</v>
      </c>
      <c r="J35" s="25">
        <f>INT('格付け'!$J$15*data3!C35/data3!G35+data3!I35)</f>
        <v>1054</v>
      </c>
      <c r="K35" s="1"/>
      <c r="L35" s="29">
        <v>80</v>
      </c>
      <c r="M35" s="29">
        <v>100</v>
      </c>
      <c r="N35" s="30">
        <v>104</v>
      </c>
      <c r="O35" s="31" t="s">
        <v>21</v>
      </c>
      <c r="P35" s="36" t="s">
        <v>34</v>
      </c>
      <c r="Q35" s="31" t="s">
        <v>19</v>
      </c>
      <c r="R35" s="33">
        <v>2000000</v>
      </c>
      <c r="S35" s="31" t="s">
        <v>20</v>
      </c>
      <c r="T35" s="34">
        <v>1251</v>
      </c>
      <c r="U35" s="25">
        <f>INT('格付け'!$J$16*data3!N35/data3!R35+data3!T35)</f>
        <v>1251</v>
      </c>
    </row>
    <row r="36" spans="1:21" ht="17.25">
      <c r="A36" s="29">
        <v>100</v>
      </c>
      <c r="B36" s="29">
        <v>120</v>
      </c>
      <c r="C36" s="30">
        <v>33</v>
      </c>
      <c r="D36" s="31" t="s">
        <v>21</v>
      </c>
      <c r="E36" s="36" t="s">
        <v>34</v>
      </c>
      <c r="F36" s="31" t="s">
        <v>19</v>
      </c>
      <c r="G36" s="33">
        <v>2000000</v>
      </c>
      <c r="H36" s="31" t="s">
        <v>20</v>
      </c>
      <c r="I36" s="34">
        <v>1084</v>
      </c>
      <c r="J36" s="25">
        <f>INT('格付け'!$J$15*data3!C36/data3!G36+data3!I36)</f>
        <v>1084</v>
      </c>
      <c r="K36" s="1"/>
      <c r="L36" s="29">
        <v>100</v>
      </c>
      <c r="M36" s="29">
        <v>120</v>
      </c>
      <c r="N36" s="30">
        <v>93</v>
      </c>
      <c r="O36" s="31" t="s">
        <v>21</v>
      </c>
      <c r="P36" s="36" t="s">
        <v>34</v>
      </c>
      <c r="Q36" s="31" t="s">
        <v>19</v>
      </c>
      <c r="R36" s="33">
        <v>2000000</v>
      </c>
      <c r="S36" s="31" t="s">
        <v>20</v>
      </c>
      <c r="T36" s="34">
        <v>1306</v>
      </c>
      <c r="U36" s="25">
        <f>INT('格付け'!$J$16*data3!N36/data3!R36+data3!T36)</f>
        <v>1306</v>
      </c>
    </row>
    <row r="37" spans="1:21" ht="17.25">
      <c r="A37" s="29">
        <v>120</v>
      </c>
      <c r="B37" s="29">
        <v>150</v>
      </c>
      <c r="C37" s="30">
        <v>42</v>
      </c>
      <c r="D37" s="31" t="s">
        <v>21</v>
      </c>
      <c r="E37" s="36" t="s">
        <v>34</v>
      </c>
      <c r="F37" s="31" t="s">
        <v>19</v>
      </c>
      <c r="G37" s="33">
        <v>3000000</v>
      </c>
      <c r="H37" s="31" t="s">
        <v>20</v>
      </c>
      <c r="I37" s="34">
        <v>1114</v>
      </c>
      <c r="J37" s="25">
        <f>INT('格付け'!$J$15*data3!C37/data3!G37+data3!I37)</f>
        <v>1114</v>
      </c>
      <c r="K37" s="1"/>
      <c r="L37" s="29">
        <v>120</v>
      </c>
      <c r="M37" s="29">
        <v>150</v>
      </c>
      <c r="N37" s="30">
        <v>123</v>
      </c>
      <c r="O37" s="31" t="s">
        <v>21</v>
      </c>
      <c r="P37" s="36" t="s">
        <v>34</v>
      </c>
      <c r="Q37" s="31" t="s">
        <v>19</v>
      </c>
      <c r="R37" s="33">
        <v>3000000</v>
      </c>
      <c r="S37" s="31" t="s">
        <v>20</v>
      </c>
      <c r="T37" s="34">
        <v>1372</v>
      </c>
      <c r="U37" s="25">
        <f>INT('格付け'!$J$16*data3!N37/data3!R37+data3!T37)</f>
        <v>1372</v>
      </c>
    </row>
    <row r="38" spans="1:21" ht="17.25">
      <c r="A38" s="29">
        <v>150</v>
      </c>
      <c r="B38" s="29">
        <v>200</v>
      </c>
      <c r="C38" s="30">
        <v>57</v>
      </c>
      <c r="D38" s="31" t="s">
        <v>21</v>
      </c>
      <c r="E38" s="36" t="s">
        <v>34</v>
      </c>
      <c r="F38" s="31" t="s">
        <v>19</v>
      </c>
      <c r="G38" s="33">
        <v>5000000</v>
      </c>
      <c r="H38" s="31" t="s">
        <v>20</v>
      </c>
      <c r="I38" s="34">
        <v>1153</v>
      </c>
      <c r="J38" s="25">
        <f>INT('格付け'!$J$15*data3!C38/data3!G38+data3!I38)</f>
        <v>1153</v>
      </c>
      <c r="K38" s="1"/>
      <c r="L38" s="29">
        <v>150</v>
      </c>
      <c r="M38" s="29">
        <v>200</v>
      </c>
      <c r="N38" s="30">
        <v>175</v>
      </c>
      <c r="O38" s="31" t="s">
        <v>21</v>
      </c>
      <c r="P38" s="36" t="s">
        <v>34</v>
      </c>
      <c r="Q38" s="31" t="s">
        <v>19</v>
      </c>
      <c r="R38" s="33">
        <v>5000000</v>
      </c>
      <c r="S38" s="31" t="s">
        <v>20</v>
      </c>
      <c r="T38" s="34">
        <v>1462</v>
      </c>
      <c r="U38" s="25">
        <f>INT('格付け'!$J$16*data3!N38/data3!R38+data3!T38)</f>
        <v>1462</v>
      </c>
    </row>
    <row r="39" spans="1:21" ht="17.25">
      <c r="A39" s="29">
        <v>200</v>
      </c>
      <c r="B39" s="29">
        <v>250</v>
      </c>
      <c r="C39" s="30">
        <v>47</v>
      </c>
      <c r="D39" s="31" t="s">
        <v>21</v>
      </c>
      <c r="E39" s="36" t="s">
        <v>34</v>
      </c>
      <c r="F39" s="31" t="s">
        <v>19</v>
      </c>
      <c r="G39" s="33">
        <v>5000000</v>
      </c>
      <c r="H39" s="31" t="s">
        <v>20</v>
      </c>
      <c r="I39" s="34">
        <v>1193</v>
      </c>
      <c r="J39" s="25">
        <f>INT('格付け'!$J$15*data3!C39/data3!G39+data3!I39)</f>
        <v>1193</v>
      </c>
      <c r="K39" s="1"/>
      <c r="L39" s="29">
        <v>200</v>
      </c>
      <c r="M39" s="29">
        <v>250</v>
      </c>
      <c r="N39" s="30">
        <v>151</v>
      </c>
      <c r="O39" s="31" t="s">
        <v>21</v>
      </c>
      <c r="P39" s="36" t="s">
        <v>34</v>
      </c>
      <c r="Q39" s="31" t="s">
        <v>19</v>
      </c>
      <c r="R39" s="33">
        <v>5000000</v>
      </c>
      <c r="S39" s="31" t="s">
        <v>20</v>
      </c>
      <c r="T39" s="34">
        <v>1558</v>
      </c>
      <c r="U39" s="25">
        <f>INT('格付け'!$J$16*data3!N39/data3!R39+data3!T39)</f>
        <v>1558</v>
      </c>
    </row>
    <row r="40" spans="1:21" ht="17.25">
      <c r="A40" s="29">
        <v>250</v>
      </c>
      <c r="B40" s="29">
        <v>300</v>
      </c>
      <c r="C40" s="30">
        <v>39</v>
      </c>
      <c r="D40" s="31" t="s">
        <v>21</v>
      </c>
      <c r="E40" s="36" t="s">
        <v>34</v>
      </c>
      <c r="F40" s="31" t="s">
        <v>19</v>
      </c>
      <c r="G40" s="33">
        <v>5000000</v>
      </c>
      <c r="H40" s="31" t="s">
        <v>20</v>
      </c>
      <c r="I40" s="34">
        <v>1233</v>
      </c>
      <c r="J40" s="25">
        <f>INT('格付け'!$J$15*data3!C40/data3!G40+data3!I40)</f>
        <v>1233</v>
      </c>
      <c r="K40" s="1"/>
      <c r="L40" s="29">
        <v>250</v>
      </c>
      <c r="M40" s="29">
        <v>300</v>
      </c>
      <c r="N40" s="30">
        <v>134</v>
      </c>
      <c r="O40" s="31" t="s">
        <v>21</v>
      </c>
      <c r="P40" s="36" t="s">
        <v>34</v>
      </c>
      <c r="Q40" s="31" t="s">
        <v>19</v>
      </c>
      <c r="R40" s="33">
        <v>5000000</v>
      </c>
      <c r="S40" s="31" t="s">
        <v>20</v>
      </c>
      <c r="T40" s="34">
        <v>1643</v>
      </c>
      <c r="U40" s="25">
        <f>INT('格付け'!$J$16*data3!N40/data3!R40+data3!T40)</f>
        <v>1643</v>
      </c>
    </row>
    <row r="41" spans="1:21" ht="17.25">
      <c r="A41" s="29">
        <v>300</v>
      </c>
      <c r="B41" s="29">
        <v>400</v>
      </c>
      <c r="C41" s="30">
        <v>66</v>
      </c>
      <c r="D41" s="31" t="s">
        <v>21</v>
      </c>
      <c r="E41" s="36" t="s">
        <v>34</v>
      </c>
      <c r="F41" s="31" t="s">
        <v>19</v>
      </c>
      <c r="G41" s="33">
        <v>10000000</v>
      </c>
      <c r="H41" s="31" t="s">
        <v>20</v>
      </c>
      <c r="I41" s="34">
        <v>1269</v>
      </c>
      <c r="J41" s="25">
        <f>INT('格付け'!$J$15*data3!C41/data3!G41+data3!I41)</f>
        <v>1269</v>
      </c>
      <c r="K41" s="1"/>
      <c r="L41" s="29">
        <v>300</v>
      </c>
      <c r="M41" s="29"/>
      <c r="N41" s="30"/>
      <c r="O41" s="31"/>
      <c r="P41" s="32"/>
      <c r="Q41" s="31"/>
      <c r="R41" s="33"/>
      <c r="S41" s="31"/>
      <c r="T41" s="34">
        <v>2447</v>
      </c>
      <c r="U41" s="25">
        <f>T41</f>
        <v>2447</v>
      </c>
    </row>
    <row r="42" spans="1:21" ht="17.25">
      <c r="A42" s="29">
        <v>400</v>
      </c>
      <c r="B42" s="29">
        <v>500</v>
      </c>
      <c r="C42" s="30">
        <v>53</v>
      </c>
      <c r="D42" s="31" t="s">
        <v>21</v>
      </c>
      <c r="E42" s="36" t="s">
        <v>34</v>
      </c>
      <c r="F42" s="31" t="s">
        <v>19</v>
      </c>
      <c r="G42" s="33">
        <v>10000000</v>
      </c>
      <c r="H42" s="31" t="s">
        <v>20</v>
      </c>
      <c r="I42" s="34">
        <v>1321</v>
      </c>
      <c r="J42" s="25">
        <f>INT('格付け'!$J$15*data3!C42/data3!G42+data3!I42)</f>
        <v>1321</v>
      </c>
      <c r="K42" s="1"/>
      <c r="L42" s="29"/>
      <c r="M42" s="29"/>
      <c r="N42" s="30"/>
      <c r="O42" s="31"/>
      <c r="P42" s="36"/>
      <c r="Q42" s="31"/>
      <c r="R42" s="33"/>
      <c r="S42" s="31"/>
      <c r="T42" s="34"/>
      <c r="U42" s="25"/>
    </row>
    <row r="43" spans="1:21" ht="17.25">
      <c r="A43" s="29">
        <v>500</v>
      </c>
      <c r="B43" s="29">
        <v>600</v>
      </c>
      <c r="C43" s="30">
        <v>46</v>
      </c>
      <c r="D43" s="31" t="s">
        <v>21</v>
      </c>
      <c r="E43" s="36" t="s">
        <v>34</v>
      </c>
      <c r="F43" s="31" t="s">
        <v>19</v>
      </c>
      <c r="G43" s="33">
        <v>10000000</v>
      </c>
      <c r="H43" s="31" t="s">
        <v>20</v>
      </c>
      <c r="I43" s="34">
        <v>1356</v>
      </c>
      <c r="J43" s="25">
        <f>INT('格付け'!$J$15*data3!C43/data3!G43+data3!I43)</f>
        <v>1356</v>
      </c>
      <c r="K43" s="1"/>
      <c r="L43" s="29"/>
      <c r="M43" s="29"/>
      <c r="N43" s="30"/>
      <c r="O43" s="31"/>
      <c r="P43" s="36"/>
      <c r="Q43" s="31"/>
      <c r="R43" s="33"/>
      <c r="S43" s="31"/>
      <c r="T43" s="34"/>
      <c r="U43" s="25"/>
    </row>
    <row r="44" spans="1:21" ht="17.25">
      <c r="A44" s="29">
        <v>600</v>
      </c>
      <c r="B44" s="29">
        <v>800</v>
      </c>
      <c r="C44" s="30">
        <v>75</v>
      </c>
      <c r="D44" s="31" t="s">
        <v>21</v>
      </c>
      <c r="E44" s="36" t="s">
        <v>34</v>
      </c>
      <c r="F44" s="31" t="s">
        <v>19</v>
      </c>
      <c r="G44" s="33">
        <v>20000000</v>
      </c>
      <c r="H44" s="31" t="s">
        <v>20</v>
      </c>
      <c r="I44" s="34">
        <v>1407</v>
      </c>
      <c r="J44" s="25">
        <f>INT('格付け'!$J$15*data3!C44/data3!G44+data3!I44)</f>
        <v>1407</v>
      </c>
      <c r="K44" s="1"/>
      <c r="L44" s="29"/>
      <c r="M44" s="29"/>
      <c r="N44" s="30"/>
      <c r="O44" s="31"/>
      <c r="P44" s="36"/>
      <c r="Q44" s="31"/>
      <c r="R44" s="33"/>
      <c r="S44" s="31"/>
      <c r="T44" s="34"/>
      <c r="U44" s="25"/>
    </row>
    <row r="45" spans="1:21" ht="17.25">
      <c r="A45" s="29">
        <v>800</v>
      </c>
      <c r="B45" s="29">
        <v>1000</v>
      </c>
      <c r="C45" s="30">
        <v>61</v>
      </c>
      <c r="D45" s="31" t="s">
        <v>21</v>
      </c>
      <c r="E45" s="36" t="s">
        <v>34</v>
      </c>
      <c r="F45" s="31" t="s">
        <v>19</v>
      </c>
      <c r="G45" s="33">
        <v>20000000</v>
      </c>
      <c r="H45" s="31" t="s">
        <v>20</v>
      </c>
      <c r="I45" s="34">
        <v>1463</v>
      </c>
      <c r="J45" s="25">
        <f>INT('格付け'!$J$15*data3!C45/data3!G45+data3!I45)</f>
        <v>1463</v>
      </c>
      <c r="K45" s="1"/>
      <c r="L45" s="29"/>
      <c r="M45" s="29"/>
      <c r="N45" s="30"/>
      <c r="O45" s="31"/>
      <c r="P45" s="36"/>
      <c r="Q45" s="31"/>
      <c r="R45" s="33"/>
      <c r="S45" s="31"/>
      <c r="T45" s="34"/>
      <c r="U45" s="25"/>
    </row>
    <row r="46" spans="1:21" ht="17.25">
      <c r="A46" s="29">
        <v>1000</v>
      </c>
      <c r="B46" s="29">
        <v>1200</v>
      </c>
      <c r="C46" s="30">
        <v>53</v>
      </c>
      <c r="D46" s="31" t="s">
        <v>21</v>
      </c>
      <c r="E46" s="36" t="s">
        <v>34</v>
      </c>
      <c r="F46" s="31" t="s">
        <v>19</v>
      </c>
      <c r="G46" s="33">
        <v>20000000</v>
      </c>
      <c r="H46" s="31" t="s">
        <v>20</v>
      </c>
      <c r="I46" s="34">
        <v>1503</v>
      </c>
      <c r="J46" s="25">
        <f>INT('格付け'!$J$15*data3!C46/data3!G46+data3!I46)</f>
        <v>1503</v>
      </c>
      <c r="K46" s="1"/>
      <c r="L46" s="29"/>
      <c r="M46" s="29"/>
      <c r="N46" s="30"/>
      <c r="O46" s="31"/>
      <c r="P46" s="36"/>
      <c r="Q46" s="31"/>
      <c r="R46" s="33"/>
      <c r="S46" s="31"/>
      <c r="T46" s="34"/>
      <c r="U46" s="25"/>
    </row>
    <row r="47" spans="1:21" ht="17.25">
      <c r="A47" s="29">
        <v>1200</v>
      </c>
      <c r="B47" s="29">
        <v>1500</v>
      </c>
      <c r="C47" s="30">
        <v>66</v>
      </c>
      <c r="D47" s="31" t="s">
        <v>21</v>
      </c>
      <c r="E47" s="36" t="s">
        <v>34</v>
      </c>
      <c r="F47" s="31" t="s">
        <v>19</v>
      </c>
      <c r="G47" s="33">
        <v>30000000</v>
      </c>
      <c r="H47" s="31" t="s">
        <v>20</v>
      </c>
      <c r="I47" s="34">
        <v>1557</v>
      </c>
      <c r="J47" s="25">
        <f>INT('格付け'!$J$15*data3!C47/data3!G47+data3!I47)</f>
        <v>1557</v>
      </c>
      <c r="K47" s="1"/>
      <c r="L47" s="29"/>
      <c r="M47" s="29"/>
      <c r="N47" s="30"/>
      <c r="O47" s="31"/>
      <c r="P47" s="36"/>
      <c r="Q47" s="31"/>
      <c r="R47" s="33"/>
      <c r="S47" s="31"/>
      <c r="T47" s="34"/>
      <c r="U47" s="25"/>
    </row>
    <row r="48" spans="1:21" ht="17.25">
      <c r="A48" s="29">
        <v>1500</v>
      </c>
      <c r="B48" s="29">
        <v>2000</v>
      </c>
      <c r="C48" s="30">
        <v>91</v>
      </c>
      <c r="D48" s="31" t="s">
        <v>21</v>
      </c>
      <c r="E48" s="36" t="s">
        <v>34</v>
      </c>
      <c r="F48" s="31" t="s">
        <v>19</v>
      </c>
      <c r="G48" s="33">
        <v>50000000</v>
      </c>
      <c r="H48" s="31" t="s">
        <v>20</v>
      </c>
      <c r="I48" s="34">
        <v>1614</v>
      </c>
      <c r="J48" s="25">
        <f>INT('格付け'!$J$15*data3!C48/data3!G48+data3!I48)</f>
        <v>1614</v>
      </c>
      <c r="K48" s="1"/>
      <c r="L48" s="29"/>
      <c r="M48" s="29"/>
      <c r="N48" s="30"/>
      <c r="O48" s="31"/>
      <c r="P48" s="36"/>
      <c r="Q48" s="31"/>
      <c r="R48" s="33"/>
      <c r="S48" s="31"/>
      <c r="T48" s="34"/>
      <c r="U48" s="25"/>
    </row>
    <row r="49" spans="1:21" ht="17.25">
      <c r="A49" s="29">
        <v>2000</v>
      </c>
      <c r="B49" s="29">
        <v>2500</v>
      </c>
      <c r="C49" s="30">
        <v>73</v>
      </c>
      <c r="D49" s="31" t="s">
        <v>21</v>
      </c>
      <c r="E49" s="36" t="s">
        <v>34</v>
      </c>
      <c r="F49" s="31" t="s">
        <v>19</v>
      </c>
      <c r="G49" s="33">
        <v>50000000</v>
      </c>
      <c r="H49" s="31" t="s">
        <v>20</v>
      </c>
      <c r="I49" s="34">
        <v>1686</v>
      </c>
      <c r="J49" s="25">
        <f>INT('格付け'!$J$15*data3!C49/data3!G49+data3!I49)</f>
        <v>1686</v>
      </c>
      <c r="K49" s="1"/>
      <c r="L49" s="29"/>
      <c r="M49" s="29"/>
      <c r="N49" s="30"/>
      <c r="O49" s="31"/>
      <c r="P49" s="36"/>
      <c r="Q49" s="31"/>
      <c r="R49" s="33"/>
      <c r="S49" s="31"/>
      <c r="T49" s="34"/>
      <c r="U49" s="25"/>
    </row>
    <row r="50" spans="1:21" ht="17.25">
      <c r="A50" s="29">
        <v>2500</v>
      </c>
      <c r="B50" s="29">
        <v>3000</v>
      </c>
      <c r="C50" s="30">
        <v>63</v>
      </c>
      <c r="D50" s="31" t="s">
        <v>21</v>
      </c>
      <c r="E50" s="36" t="s">
        <v>34</v>
      </c>
      <c r="F50" s="31" t="s">
        <v>19</v>
      </c>
      <c r="G50" s="33">
        <v>50000000</v>
      </c>
      <c r="H50" s="31" t="s">
        <v>20</v>
      </c>
      <c r="I50" s="34">
        <v>1736</v>
      </c>
      <c r="J50" s="25">
        <f>INT('格付け'!$J$15*data3!C50/data3!G50+data3!I50)</f>
        <v>1736</v>
      </c>
      <c r="K50" s="1"/>
      <c r="L50" s="29"/>
      <c r="M50" s="29"/>
      <c r="N50" s="30"/>
      <c r="O50" s="31"/>
      <c r="P50" s="36"/>
      <c r="Q50" s="31"/>
      <c r="R50" s="33"/>
      <c r="S50" s="31"/>
      <c r="T50" s="34"/>
      <c r="U50" s="25"/>
    </row>
    <row r="51" spans="1:21" ht="17.25">
      <c r="A51" s="29">
        <v>3000</v>
      </c>
      <c r="B51" s="29"/>
      <c r="C51" s="30"/>
      <c r="D51" s="31"/>
      <c r="E51" s="32"/>
      <c r="F51" s="31"/>
      <c r="G51" s="33"/>
      <c r="H51" s="31"/>
      <c r="I51" s="34">
        <v>2114</v>
      </c>
      <c r="J51" s="25">
        <f>I51</f>
        <v>2114</v>
      </c>
      <c r="K51" s="1"/>
      <c r="L51" s="29"/>
      <c r="M51" s="29"/>
      <c r="N51" s="30"/>
      <c r="O51" s="31"/>
      <c r="P51" s="32"/>
      <c r="Q51" s="31"/>
      <c r="R51" s="33"/>
      <c r="S51" s="31"/>
      <c r="T51" s="34"/>
      <c r="U51" s="25"/>
    </row>
    <row r="52" spans="1:11" ht="17.25">
      <c r="A52" s="1"/>
      <c r="B52" s="1"/>
      <c r="C52" s="1"/>
      <c r="D52" s="1"/>
      <c r="E52" s="1"/>
      <c r="F52" s="1"/>
      <c r="G52" s="1"/>
      <c r="H52" s="1"/>
      <c r="I52" s="1"/>
      <c r="J52" s="1"/>
      <c r="K52" s="1"/>
    </row>
    <row r="53" ht="17.25">
      <c r="K53" s="1"/>
    </row>
    <row r="54" spans="1:12" ht="17.25">
      <c r="A54" s="37" t="s">
        <v>35</v>
      </c>
      <c r="L54" s="37" t="s">
        <v>38</v>
      </c>
    </row>
    <row r="55" spans="1:12" ht="17.25">
      <c r="A55" s="35" t="e">
        <f>IF('格付け'!J13=0,0,VLOOKUP('格付け'!$J$15/100000,A5:J51,10,TRUE))</f>
        <v>#DIV/0!</v>
      </c>
      <c r="L55" s="35" t="e">
        <f>IF('格付け'!J13=0,0,VLOOKUP('格付け'!$J$16/100000,L5:U41,10,TRUE))</f>
        <v>#DIV/0!</v>
      </c>
    </row>
    <row r="57" ht="17.25">
      <c r="L57" s="38" t="s">
        <v>39</v>
      </c>
    </row>
    <row r="58" ht="17.25">
      <c r="L58" s="35" t="e">
        <f>IF('格付け'!J13=0,0,INT((+A55+L55)/2))</f>
        <v>#DIV/0!</v>
      </c>
    </row>
  </sheetData>
  <sheetProtection sheet="1" objects="1" scenarios="1"/>
  <mergeCells count="6">
    <mergeCell ref="N3:T3"/>
    <mergeCell ref="N4:T4"/>
    <mergeCell ref="A3:B3"/>
    <mergeCell ref="C3:I3"/>
    <mergeCell ref="C4:I4"/>
    <mergeCell ref="L3:M3"/>
  </mergeCells>
  <printOptions/>
  <pageMargins left="0.787" right="0.787" top="0.984" bottom="0.984" header="0.512" footer="0.512"/>
  <pageSetup horizontalDpi="600" verticalDpi="600" orientation="portrait" paperSize="9" scale="75"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transitionEvaluation="1"/>
  <dimension ref="A1:Y58"/>
  <sheetViews>
    <sheetView showGridLines="0" zoomScalePageLayoutView="0" workbookViewId="0" topLeftCell="A1">
      <selection activeCell="L58" sqref="L58"/>
    </sheetView>
  </sheetViews>
  <sheetFormatPr defaultColWidth="13.41015625" defaultRowHeight="18"/>
  <cols>
    <col min="1" max="2" width="8.58203125" style="2" customWidth="1"/>
    <col min="3" max="3" width="3.5" style="2" bestFit="1" customWidth="1"/>
    <col min="4" max="4" width="3.33203125" style="2" customWidth="1"/>
    <col min="5" max="5" width="10.58203125" style="2" customWidth="1"/>
    <col min="6" max="6" width="3.33203125" style="2" customWidth="1"/>
    <col min="7" max="7" width="5.25" style="2" bestFit="1" customWidth="1"/>
    <col min="8" max="8" width="3.33203125" style="2" customWidth="1"/>
    <col min="9" max="9" width="7.58203125" style="2" customWidth="1"/>
    <col min="10" max="10" width="8.33203125" style="2" customWidth="1"/>
    <col min="11" max="11" width="10.58203125" style="2" customWidth="1"/>
    <col min="12" max="13" width="8.58203125" style="2" customWidth="1"/>
    <col min="14" max="14" width="4.5" style="2" bestFit="1" customWidth="1"/>
    <col min="15" max="15" width="3.33203125" style="2" customWidth="1"/>
    <col min="16" max="16" width="10.58203125" style="2" customWidth="1"/>
    <col min="17" max="17" width="3.33203125" style="2" customWidth="1"/>
    <col min="18" max="18" width="9" style="2" bestFit="1" customWidth="1"/>
    <col min="19" max="19" width="3.33203125" style="2" customWidth="1"/>
    <col min="20" max="20" width="7.58203125" style="2" customWidth="1"/>
    <col min="21" max="21" width="8.33203125" style="2" customWidth="1"/>
    <col min="22" max="16384" width="13.33203125" style="2" customWidth="1"/>
  </cols>
  <sheetData>
    <row r="1" spans="1:12" ht="17.25">
      <c r="A1" s="37" t="s">
        <v>42</v>
      </c>
      <c r="L1" s="37" t="s">
        <v>64</v>
      </c>
    </row>
    <row r="2" spans="1:12" ht="18" thickBot="1">
      <c r="A2" s="1" t="s">
        <v>9</v>
      </c>
      <c r="L2" s="37" t="s">
        <v>43</v>
      </c>
    </row>
    <row r="3" spans="1:24" ht="17.25">
      <c r="A3" s="244" t="s">
        <v>45</v>
      </c>
      <c r="B3" s="245"/>
      <c r="C3" s="238" t="s">
        <v>28</v>
      </c>
      <c r="D3" s="239"/>
      <c r="E3" s="239"/>
      <c r="F3" s="239"/>
      <c r="G3" s="239"/>
      <c r="H3" s="239"/>
      <c r="I3" s="240"/>
      <c r="J3" s="25"/>
      <c r="L3" s="244" t="s">
        <v>46</v>
      </c>
      <c r="M3" s="245"/>
      <c r="N3" s="238" t="s">
        <v>61</v>
      </c>
      <c r="O3" s="239"/>
      <c r="P3" s="239"/>
      <c r="Q3" s="239"/>
      <c r="R3" s="239"/>
      <c r="S3" s="239"/>
      <c r="T3" s="240"/>
      <c r="U3" s="25"/>
      <c r="X3" s="2" t="s">
        <v>58</v>
      </c>
    </row>
    <row r="4" spans="1:25" ht="18" thickBot="1">
      <c r="A4" s="27" t="s">
        <v>6</v>
      </c>
      <c r="B4" s="27" t="s">
        <v>7</v>
      </c>
      <c r="C4" s="241" t="s">
        <v>40</v>
      </c>
      <c r="D4" s="242"/>
      <c r="E4" s="242"/>
      <c r="F4" s="242"/>
      <c r="G4" s="242"/>
      <c r="H4" s="242"/>
      <c r="I4" s="243"/>
      <c r="J4" s="25"/>
      <c r="L4" s="27" t="s">
        <v>6</v>
      </c>
      <c r="M4" s="27" t="s">
        <v>7</v>
      </c>
      <c r="N4" s="241" t="s">
        <v>40</v>
      </c>
      <c r="O4" s="242"/>
      <c r="P4" s="242"/>
      <c r="Q4" s="242"/>
      <c r="R4" s="242"/>
      <c r="S4" s="242"/>
      <c r="T4" s="243"/>
      <c r="U4" s="25"/>
      <c r="X4" s="2" t="s">
        <v>59</v>
      </c>
      <c r="Y4" s="2" t="s">
        <v>60</v>
      </c>
    </row>
    <row r="5" spans="1:25" ht="17.25">
      <c r="A5" s="28">
        <v>0</v>
      </c>
      <c r="B5" s="28">
        <v>5</v>
      </c>
      <c r="C5" s="30">
        <v>62</v>
      </c>
      <c r="D5" s="31" t="s">
        <v>17</v>
      </c>
      <c r="E5" s="36" t="s">
        <v>41</v>
      </c>
      <c r="F5" s="31" t="s">
        <v>19</v>
      </c>
      <c r="G5" s="33">
        <v>5</v>
      </c>
      <c r="H5" s="31" t="s">
        <v>20</v>
      </c>
      <c r="I5" s="34">
        <v>510</v>
      </c>
      <c r="J5" s="25">
        <f>INT(data2!$B$5*data4!C5/data4!G5+data4!I5)</f>
        <v>510</v>
      </c>
      <c r="L5" s="28">
        <v>0</v>
      </c>
      <c r="M5" s="28">
        <v>0.1</v>
      </c>
      <c r="N5" s="68">
        <v>341</v>
      </c>
      <c r="O5" s="69" t="s">
        <v>17</v>
      </c>
      <c r="P5" s="70" t="s">
        <v>47</v>
      </c>
      <c r="Q5" s="69" t="s">
        <v>19</v>
      </c>
      <c r="R5" s="71">
        <v>10000</v>
      </c>
      <c r="S5" s="69" t="s">
        <v>20</v>
      </c>
      <c r="T5" s="72">
        <v>241</v>
      </c>
      <c r="U5" s="25">
        <f>INT('格付け'!$J$18*data4!N5/data4!R5+data4!T5)</f>
        <v>241</v>
      </c>
      <c r="W5" s="2">
        <v>42</v>
      </c>
      <c r="X5" s="2">
        <v>341</v>
      </c>
      <c r="Y5" s="2">
        <v>241</v>
      </c>
    </row>
    <row r="6" spans="1:25" ht="17.25">
      <c r="A6" s="29">
        <v>5</v>
      </c>
      <c r="B6" s="29">
        <v>10</v>
      </c>
      <c r="C6" s="30">
        <v>63</v>
      </c>
      <c r="D6" s="31" t="s">
        <v>17</v>
      </c>
      <c r="E6" s="36" t="s">
        <v>41</v>
      </c>
      <c r="F6" s="31" t="s">
        <v>19</v>
      </c>
      <c r="G6" s="33">
        <v>5</v>
      </c>
      <c r="H6" s="31" t="s">
        <v>20</v>
      </c>
      <c r="I6" s="34">
        <v>509</v>
      </c>
      <c r="J6" s="25">
        <f>INT(data2!$B$5*data4!C6/data4!G6+data4!I6)</f>
        <v>509</v>
      </c>
      <c r="L6" s="29">
        <v>0.1</v>
      </c>
      <c r="M6" s="29">
        <v>0.12</v>
      </c>
      <c r="N6" s="68">
        <v>16</v>
      </c>
      <c r="O6" s="69" t="s">
        <v>17</v>
      </c>
      <c r="P6" s="70" t="s">
        <v>47</v>
      </c>
      <c r="Q6" s="69" t="s">
        <v>19</v>
      </c>
      <c r="R6" s="71">
        <v>2000</v>
      </c>
      <c r="S6" s="69" t="s">
        <v>20</v>
      </c>
      <c r="T6" s="72">
        <v>502</v>
      </c>
      <c r="U6" s="25">
        <f>INT('格付け'!$J$18*data4!N6/data4!R6+data4!T6)</f>
        <v>502</v>
      </c>
      <c r="W6" s="2">
        <v>41</v>
      </c>
      <c r="X6" s="2">
        <v>16</v>
      </c>
      <c r="Y6" s="2">
        <v>502</v>
      </c>
    </row>
    <row r="7" spans="1:25" ht="17.25">
      <c r="A7" s="29">
        <v>10</v>
      </c>
      <c r="B7" s="29">
        <v>15</v>
      </c>
      <c r="C7" s="30">
        <v>62</v>
      </c>
      <c r="D7" s="31" t="s">
        <v>17</v>
      </c>
      <c r="E7" s="36" t="s">
        <v>41</v>
      </c>
      <c r="F7" s="31" t="s">
        <v>19</v>
      </c>
      <c r="G7" s="33">
        <v>5</v>
      </c>
      <c r="H7" s="31" t="s">
        <v>20</v>
      </c>
      <c r="I7" s="34">
        <v>511</v>
      </c>
      <c r="J7" s="25">
        <f>INT(data2!$B$5*data4!C7/data4!G7+data4!I7)</f>
        <v>511</v>
      </c>
      <c r="L7" s="29">
        <v>0.12</v>
      </c>
      <c r="M7" s="29">
        <v>0.15</v>
      </c>
      <c r="N7" s="68">
        <v>19</v>
      </c>
      <c r="O7" s="69" t="s">
        <v>17</v>
      </c>
      <c r="P7" s="70" t="s">
        <v>47</v>
      </c>
      <c r="Q7" s="69" t="s">
        <v>19</v>
      </c>
      <c r="R7" s="71">
        <v>3000</v>
      </c>
      <c r="S7" s="69" t="s">
        <v>20</v>
      </c>
      <c r="T7" s="72">
        <v>522</v>
      </c>
      <c r="U7" s="25">
        <f>INT('格付け'!$J$18*data4!N7/data4!R7+data4!T7)</f>
        <v>522</v>
      </c>
      <c r="W7" s="2">
        <v>40</v>
      </c>
      <c r="X7" s="2">
        <v>19</v>
      </c>
      <c r="Y7" s="2">
        <v>522</v>
      </c>
    </row>
    <row r="8" spans="1:25" ht="17.25">
      <c r="A8" s="29">
        <v>15</v>
      </c>
      <c r="B8" s="29">
        <v>20</v>
      </c>
      <c r="C8" s="30">
        <v>63</v>
      </c>
      <c r="D8" s="31" t="s">
        <v>17</v>
      </c>
      <c r="E8" s="36" t="s">
        <v>41</v>
      </c>
      <c r="F8" s="31" t="s">
        <v>19</v>
      </c>
      <c r="G8" s="33">
        <v>5</v>
      </c>
      <c r="H8" s="31" t="s">
        <v>20</v>
      </c>
      <c r="I8" s="34">
        <v>508</v>
      </c>
      <c r="J8" s="25">
        <f>INT(data2!$B$5*data4!C8/data4!G8+data4!I8)</f>
        <v>508</v>
      </c>
      <c r="L8" s="29">
        <v>0.15</v>
      </c>
      <c r="M8" s="29">
        <v>0.2</v>
      </c>
      <c r="N8" s="68">
        <v>28</v>
      </c>
      <c r="O8" s="69" t="s">
        <v>17</v>
      </c>
      <c r="P8" s="70" t="s">
        <v>47</v>
      </c>
      <c r="Q8" s="69" t="s">
        <v>19</v>
      </c>
      <c r="R8" s="71">
        <v>5000</v>
      </c>
      <c r="S8" s="69" t="s">
        <v>20</v>
      </c>
      <c r="T8" s="72">
        <v>533</v>
      </c>
      <c r="U8" s="25">
        <f>INT('格付け'!$J$18*data4!N8/data4!R8+data4!T8)</f>
        <v>533</v>
      </c>
      <c r="W8" s="2">
        <v>39</v>
      </c>
      <c r="X8" s="2">
        <v>28</v>
      </c>
      <c r="Y8" s="2">
        <v>533</v>
      </c>
    </row>
    <row r="9" spans="1:25" ht="17.25">
      <c r="A9" s="29">
        <v>20</v>
      </c>
      <c r="B9" s="29">
        <v>30</v>
      </c>
      <c r="C9" s="30">
        <v>62</v>
      </c>
      <c r="D9" s="31" t="s">
        <v>17</v>
      </c>
      <c r="E9" s="36" t="s">
        <v>41</v>
      </c>
      <c r="F9" s="31" t="s">
        <v>19</v>
      </c>
      <c r="G9" s="33">
        <v>10</v>
      </c>
      <c r="H9" s="31" t="s">
        <v>20</v>
      </c>
      <c r="I9" s="34">
        <v>636</v>
      </c>
      <c r="J9" s="25">
        <f>INT(data2!$B$5*data4!C9/data4!G9+data4!I9)</f>
        <v>636</v>
      </c>
      <c r="L9" s="29">
        <v>0.2</v>
      </c>
      <c r="M9" s="29">
        <v>0.25</v>
      </c>
      <c r="N9" s="68">
        <v>23</v>
      </c>
      <c r="O9" s="69" t="s">
        <v>17</v>
      </c>
      <c r="P9" s="70" t="s">
        <v>47</v>
      </c>
      <c r="Q9" s="69" t="s">
        <v>19</v>
      </c>
      <c r="R9" s="71">
        <v>5000</v>
      </c>
      <c r="S9" s="69" t="s">
        <v>20</v>
      </c>
      <c r="T9" s="72">
        <v>553</v>
      </c>
      <c r="U9" s="25">
        <f>INT('格付け'!$J$18*data4!N9/data4!R9+data4!T9)</f>
        <v>553</v>
      </c>
      <c r="W9" s="2">
        <v>38</v>
      </c>
      <c r="X9" s="2">
        <v>23</v>
      </c>
      <c r="Y9" s="2">
        <v>553</v>
      </c>
    </row>
    <row r="10" spans="1:25" ht="17.25">
      <c r="A10" s="29">
        <v>30</v>
      </c>
      <c r="B10" s="29">
        <v>40</v>
      </c>
      <c r="C10" s="30">
        <v>63</v>
      </c>
      <c r="D10" s="31" t="s">
        <v>17</v>
      </c>
      <c r="E10" s="36" t="s">
        <v>41</v>
      </c>
      <c r="F10" s="31" t="s">
        <v>19</v>
      </c>
      <c r="G10" s="33">
        <v>10</v>
      </c>
      <c r="H10" s="31" t="s">
        <v>20</v>
      </c>
      <c r="I10" s="34">
        <v>633</v>
      </c>
      <c r="J10" s="25">
        <f>INT(data2!$B$5*data4!C10/data4!G10+data4!I10)</f>
        <v>633</v>
      </c>
      <c r="L10" s="29">
        <v>0.25</v>
      </c>
      <c r="M10" s="29">
        <v>0.3</v>
      </c>
      <c r="N10" s="68">
        <v>19</v>
      </c>
      <c r="O10" s="69" t="s">
        <v>17</v>
      </c>
      <c r="P10" s="70" t="s">
        <v>47</v>
      </c>
      <c r="Q10" s="69" t="s">
        <v>19</v>
      </c>
      <c r="R10" s="71">
        <v>5000</v>
      </c>
      <c r="S10" s="69" t="s">
        <v>20</v>
      </c>
      <c r="T10" s="72">
        <v>573</v>
      </c>
      <c r="U10" s="25">
        <f>INT('格付け'!$J$18*data4!N10/data4!R10+data4!T10)</f>
        <v>573</v>
      </c>
      <c r="W10" s="2">
        <v>37</v>
      </c>
      <c r="X10" s="2">
        <v>19</v>
      </c>
      <c r="Y10" s="2">
        <v>573</v>
      </c>
    </row>
    <row r="11" spans="1:25" ht="17.25">
      <c r="A11" s="29">
        <v>40</v>
      </c>
      <c r="B11" s="29">
        <v>50</v>
      </c>
      <c r="C11" s="30">
        <v>63</v>
      </c>
      <c r="D11" s="31" t="s">
        <v>17</v>
      </c>
      <c r="E11" s="36" t="s">
        <v>41</v>
      </c>
      <c r="F11" s="31" t="s">
        <v>19</v>
      </c>
      <c r="G11" s="33">
        <v>10</v>
      </c>
      <c r="H11" s="31" t="s">
        <v>20</v>
      </c>
      <c r="I11" s="34">
        <v>633</v>
      </c>
      <c r="J11" s="25">
        <f>INT(data2!$B$5*data4!C11/data4!G11+data4!I11)</f>
        <v>633</v>
      </c>
      <c r="L11" s="29">
        <v>0.3</v>
      </c>
      <c r="M11" s="29">
        <v>0.4</v>
      </c>
      <c r="N11" s="68">
        <v>31</v>
      </c>
      <c r="O11" s="69" t="s">
        <v>17</v>
      </c>
      <c r="P11" s="70" t="s">
        <v>47</v>
      </c>
      <c r="Q11" s="69" t="s">
        <v>19</v>
      </c>
      <c r="R11" s="71">
        <v>10000</v>
      </c>
      <c r="S11" s="69" t="s">
        <v>20</v>
      </c>
      <c r="T11" s="72">
        <v>594</v>
      </c>
      <c r="U11" s="25">
        <f>INT('格付け'!$J$18*data4!N11/data4!R11+data4!T11)</f>
        <v>594</v>
      </c>
      <c r="W11" s="2">
        <v>36</v>
      </c>
      <c r="X11" s="2">
        <v>31</v>
      </c>
      <c r="Y11" s="2">
        <v>594</v>
      </c>
    </row>
    <row r="12" spans="1:25" ht="17.25">
      <c r="A12" s="29">
        <v>50</v>
      </c>
      <c r="B12" s="29">
        <v>65</v>
      </c>
      <c r="C12" s="30">
        <v>62</v>
      </c>
      <c r="D12" s="31" t="s">
        <v>17</v>
      </c>
      <c r="E12" s="36" t="s">
        <v>41</v>
      </c>
      <c r="F12" s="31" t="s">
        <v>19</v>
      </c>
      <c r="G12" s="33">
        <v>15</v>
      </c>
      <c r="H12" s="31" t="s">
        <v>20</v>
      </c>
      <c r="I12" s="34">
        <v>742</v>
      </c>
      <c r="J12" s="25">
        <f>INT(data2!$B$5*data4!C12/data4!G12+data4!I12)</f>
        <v>742</v>
      </c>
      <c r="L12" s="29">
        <v>0.4</v>
      </c>
      <c r="M12" s="29">
        <v>0.5</v>
      </c>
      <c r="N12" s="68">
        <v>27</v>
      </c>
      <c r="O12" s="69" t="s">
        <v>17</v>
      </c>
      <c r="P12" s="70" t="s">
        <v>47</v>
      </c>
      <c r="Q12" s="69" t="s">
        <v>19</v>
      </c>
      <c r="R12" s="71">
        <v>10000</v>
      </c>
      <c r="S12" s="69" t="s">
        <v>20</v>
      </c>
      <c r="T12" s="72">
        <v>610</v>
      </c>
      <c r="U12" s="25">
        <f>INT('格付け'!$J$18*data4!N12/data4!R12+data4!T12)</f>
        <v>610</v>
      </c>
      <c r="W12" s="2">
        <v>35</v>
      </c>
      <c r="X12" s="2">
        <v>27</v>
      </c>
      <c r="Y12" s="2">
        <v>610</v>
      </c>
    </row>
    <row r="13" spans="1:25" ht="17.25">
      <c r="A13" s="29">
        <v>65</v>
      </c>
      <c r="B13" s="29">
        <v>85</v>
      </c>
      <c r="C13" s="30">
        <v>62</v>
      </c>
      <c r="D13" s="31" t="s">
        <v>17</v>
      </c>
      <c r="E13" s="36" t="s">
        <v>41</v>
      </c>
      <c r="F13" s="31" t="s">
        <v>19</v>
      </c>
      <c r="G13" s="33">
        <v>20</v>
      </c>
      <c r="H13" s="31" t="s">
        <v>20</v>
      </c>
      <c r="I13" s="34">
        <v>810</v>
      </c>
      <c r="J13" s="25">
        <f>INT(data2!$B$5*data4!C13/data4!G13+data4!I13)</f>
        <v>810</v>
      </c>
      <c r="L13" s="29">
        <v>0.5</v>
      </c>
      <c r="M13" s="29">
        <v>0.6</v>
      </c>
      <c r="N13" s="68">
        <v>22</v>
      </c>
      <c r="O13" s="69" t="s">
        <v>17</v>
      </c>
      <c r="P13" s="70" t="s">
        <v>47</v>
      </c>
      <c r="Q13" s="69" t="s">
        <v>19</v>
      </c>
      <c r="R13" s="71">
        <v>10000</v>
      </c>
      <c r="S13" s="69" t="s">
        <v>20</v>
      </c>
      <c r="T13" s="72">
        <v>635</v>
      </c>
      <c r="U13" s="25">
        <f>INT('格付け'!$J$18*data4!N13/data4!R13+data4!T13)</f>
        <v>635</v>
      </c>
      <c r="W13" s="2">
        <v>34</v>
      </c>
      <c r="X13" s="2">
        <v>22</v>
      </c>
      <c r="Y13" s="2">
        <v>635</v>
      </c>
    </row>
    <row r="14" spans="1:25" ht="17.25">
      <c r="A14" s="29">
        <v>85</v>
      </c>
      <c r="B14" s="29">
        <v>110</v>
      </c>
      <c r="C14" s="30">
        <v>63</v>
      </c>
      <c r="D14" s="31" t="s">
        <v>17</v>
      </c>
      <c r="E14" s="36" t="s">
        <v>41</v>
      </c>
      <c r="F14" s="31" t="s">
        <v>19</v>
      </c>
      <c r="G14" s="33">
        <v>25</v>
      </c>
      <c r="H14" s="31" t="s">
        <v>20</v>
      </c>
      <c r="I14" s="34">
        <v>860</v>
      </c>
      <c r="J14" s="25">
        <f>INT(data2!$B$5*data4!C14/data4!G14+data4!I14)</f>
        <v>860</v>
      </c>
      <c r="L14" s="29">
        <v>0.6</v>
      </c>
      <c r="M14" s="29">
        <v>0.8</v>
      </c>
      <c r="N14" s="68">
        <v>36</v>
      </c>
      <c r="O14" s="69" t="s">
        <v>17</v>
      </c>
      <c r="P14" s="70" t="s">
        <v>47</v>
      </c>
      <c r="Q14" s="69" t="s">
        <v>19</v>
      </c>
      <c r="R14" s="71">
        <v>20000</v>
      </c>
      <c r="S14" s="69" t="s">
        <v>20</v>
      </c>
      <c r="T14" s="72">
        <v>659</v>
      </c>
      <c r="U14" s="25">
        <f>INT('格付け'!$J$18*data4!N14/data4!R14+data4!T14)</f>
        <v>659</v>
      </c>
      <c r="W14" s="2">
        <v>33</v>
      </c>
      <c r="X14" s="2">
        <v>36</v>
      </c>
      <c r="Y14" s="2">
        <v>659</v>
      </c>
    </row>
    <row r="15" spans="1:25" ht="17.25">
      <c r="A15" s="29">
        <v>110</v>
      </c>
      <c r="B15" s="29">
        <v>140</v>
      </c>
      <c r="C15" s="30">
        <v>63</v>
      </c>
      <c r="D15" s="31" t="s">
        <v>17</v>
      </c>
      <c r="E15" s="36" t="s">
        <v>41</v>
      </c>
      <c r="F15" s="31" t="s">
        <v>19</v>
      </c>
      <c r="G15" s="33">
        <v>30</v>
      </c>
      <c r="H15" s="31" t="s">
        <v>20</v>
      </c>
      <c r="I15" s="34">
        <v>907</v>
      </c>
      <c r="J15" s="25">
        <f>INT(data2!$B$5*data4!C15/data4!G15+data4!I15)</f>
        <v>907</v>
      </c>
      <c r="L15" s="29">
        <v>0.8</v>
      </c>
      <c r="M15" s="29">
        <v>1</v>
      </c>
      <c r="N15" s="68">
        <v>29</v>
      </c>
      <c r="O15" s="69" t="s">
        <v>17</v>
      </c>
      <c r="P15" s="70" t="s">
        <v>47</v>
      </c>
      <c r="Q15" s="69" t="s">
        <v>19</v>
      </c>
      <c r="R15" s="71">
        <v>20000</v>
      </c>
      <c r="S15" s="69" t="s">
        <v>20</v>
      </c>
      <c r="T15" s="72">
        <v>687</v>
      </c>
      <c r="U15" s="25">
        <f>INT('格付け'!$J$18*data4!N15/data4!R15+data4!T15)</f>
        <v>687</v>
      </c>
      <c r="W15" s="2">
        <v>32</v>
      </c>
      <c r="X15" s="2">
        <v>29</v>
      </c>
      <c r="Y15" s="2">
        <v>687</v>
      </c>
    </row>
    <row r="16" spans="1:25" ht="17.25">
      <c r="A16" s="29">
        <v>140</v>
      </c>
      <c r="B16" s="29">
        <v>180</v>
      </c>
      <c r="C16" s="30">
        <v>62</v>
      </c>
      <c r="D16" s="31" t="s">
        <v>17</v>
      </c>
      <c r="E16" s="36" t="s">
        <v>41</v>
      </c>
      <c r="F16" s="31" t="s">
        <v>19</v>
      </c>
      <c r="G16" s="33">
        <v>40</v>
      </c>
      <c r="H16" s="31" t="s">
        <v>20</v>
      </c>
      <c r="I16" s="34">
        <v>984</v>
      </c>
      <c r="J16" s="25">
        <f>INT(data2!$B$5*data4!C16/data4!G16+data4!I16)</f>
        <v>984</v>
      </c>
      <c r="L16" s="29">
        <v>1</v>
      </c>
      <c r="M16" s="29">
        <v>1.2</v>
      </c>
      <c r="N16" s="68">
        <v>26</v>
      </c>
      <c r="O16" s="69" t="s">
        <v>17</v>
      </c>
      <c r="P16" s="70" t="s">
        <v>47</v>
      </c>
      <c r="Q16" s="69" t="s">
        <v>19</v>
      </c>
      <c r="R16" s="71">
        <v>20000</v>
      </c>
      <c r="S16" s="69" t="s">
        <v>20</v>
      </c>
      <c r="T16" s="72">
        <v>702</v>
      </c>
      <c r="U16" s="25">
        <f>INT('格付け'!$J$18*data4!N16/data4!R16+data4!T16)</f>
        <v>702</v>
      </c>
      <c r="W16" s="2">
        <v>31</v>
      </c>
      <c r="X16" s="2">
        <v>26</v>
      </c>
      <c r="Y16" s="2">
        <v>702</v>
      </c>
    </row>
    <row r="17" spans="1:25" ht="17.25">
      <c r="A17" s="29">
        <v>180</v>
      </c>
      <c r="B17" s="29">
        <v>230</v>
      </c>
      <c r="C17" s="30">
        <v>62</v>
      </c>
      <c r="D17" s="31" t="s">
        <v>17</v>
      </c>
      <c r="E17" s="36" t="s">
        <v>41</v>
      </c>
      <c r="F17" s="31" t="s">
        <v>19</v>
      </c>
      <c r="G17" s="33">
        <v>50</v>
      </c>
      <c r="H17" s="31" t="s">
        <v>20</v>
      </c>
      <c r="I17" s="34">
        <v>1040</v>
      </c>
      <c r="J17" s="25">
        <f>INT(data2!$B$5*data4!C17/data4!G17+data4!I17)</f>
        <v>1040</v>
      </c>
      <c r="L17" s="29">
        <v>1.2</v>
      </c>
      <c r="M17" s="29">
        <v>1.5</v>
      </c>
      <c r="N17" s="68">
        <v>32</v>
      </c>
      <c r="O17" s="69" t="s">
        <v>17</v>
      </c>
      <c r="P17" s="70" t="s">
        <v>47</v>
      </c>
      <c r="Q17" s="69" t="s">
        <v>19</v>
      </c>
      <c r="R17" s="71">
        <v>30000</v>
      </c>
      <c r="S17" s="69" t="s">
        <v>20</v>
      </c>
      <c r="T17" s="72">
        <v>730</v>
      </c>
      <c r="U17" s="25">
        <f>INT('格付け'!$J$18*data4!N17/data4!R17+data4!T17)</f>
        <v>730</v>
      </c>
      <c r="W17" s="2">
        <v>30</v>
      </c>
      <c r="X17" s="2">
        <v>32</v>
      </c>
      <c r="Y17" s="2">
        <v>730</v>
      </c>
    </row>
    <row r="18" spans="1:25" ht="17.25">
      <c r="A18" s="29">
        <v>230</v>
      </c>
      <c r="B18" s="29">
        <v>300</v>
      </c>
      <c r="C18" s="30">
        <v>63</v>
      </c>
      <c r="D18" s="31" t="s">
        <v>17</v>
      </c>
      <c r="E18" s="36" t="s">
        <v>41</v>
      </c>
      <c r="F18" s="31" t="s">
        <v>19</v>
      </c>
      <c r="G18" s="33">
        <v>70</v>
      </c>
      <c r="H18" s="31" t="s">
        <v>20</v>
      </c>
      <c r="I18" s="34">
        <v>1119</v>
      </c>
      <c r="J18" s="25">
        <f>INT(data2!$B$5*data4!C18/data4!G18+data4!I18)</f>
        <v>1119</v>
      </c>
      <c r="L18" s="29">
        <v>1.5</v>
      </c>
      <c r="M18" s="29">
        <v>2</v>
      </c>
      <c r="N18" s="68">
        <v>45</v>
      </c>
      <c r="O18" s="69" t="s">
        <v>17</v>
      </c>
      <c r="P18" s="70" t="s">
        <v>47</v>
      </c>
      <c r="Q18" s="69" t="s">
        <v>19</v>
      </c>
      <c r="R18" s="71">
        <v>50000</v>
      </c>
      <c r="S18" s="69" t="s">
        <v>20</v>
      </c>
      <c r="T18" s="72">
        <v>755</v>
      </c>
      <c r="U18" s="25">
        <f>INT('格付け'!$J$18*data4!N18/data4!R18+data4!T18)</f>
        <v>755</v>
      </c>
      <c r="W18" s="2">
        <v>29</v>
      </c>
      <c r="X18" s="2">
        <v>45</v>
      </c>
      <c r="Y18" s="2">
        <v>755</v>
      </c>
    </row>
    <row r="19" spans="1:25" ht="17.25">
      <c r="A19" s="29">
        <v>300</v>
      </c>
      <c r="B19" s="29">
        <v>390</v>
      </c>
      <c r="C19" s="30">
        <v>62</v>
      </c>
      <c r="D19" s="31" t="s">
        <v>17</v>
      </c>
      <c r="E19" s="36" t="s">
        <v>41</v>
      </c>
      <c r="F19" s="31" t="s">
        <v>19</v>
      </c>
      <c r="G19" s="33">
        <v>90</v>
      </c>
      <c r="H19" s="31" t="s">
        <v>20</v>
      </c>
      <c r="I19" s="34">
        <v>1183</v>
      </c>
      <c r="J19" s="25">
        <f>INT(data2!$B$5*data4!C19/data4!G19+data4!I19)</f>
        <v>1183</v>
      </c>
      <c r="L19" s="29">
        <v>2</v>
      </c>
      <c r="M19" s="29">
        <v>2.5</v>
      </c>
      <c r="N19" s="68">
        <v>35</v>
      </c>
      <c r="O19" s="69" t="s">
        <v>17</v>
      </c>
      <c r="P19" s="70" t="s">
        <v>47</v>
      </c>
      <c r="Q19" s="69" t="s">
        <v>19</v>
      </c>
      <c r="R19" s="71">
        <v>50000</v>
      </c>
      <c r="S19" s="69" t="s">
        <v>20</v>
      </c>
      <c r="T19" s="72">
        <v>795</v>
      </c>
      <c r="U19" s="25">
        <f>INT('格付け'!$J$18*data4!N19/data4!R19+data4!T19)</f>
        <v>795</v>
      </c>
      <c r="W19" s="2">
        <v>28</v>
      </c>
      <c r="X19" s="2">
        <v>35</v>
      </c>
      <c r="Y19" s="2">
        <v>795</v>
      </c>
    </row>
    <row r="20" spans="1:25" ht="17.25">
      <c r="A20" s="29">
        <v>390</v>
      </c>
      <c r="B20" s="29">
        <v>510</v>
      </c>
      <c r="C20" s="30">
        <v>63</v>
      </c>
      <c r="D20" s="31" t="s">
        <v>17</v>
      </c>
      <c r="E20" s="36" t="s">
        <v>41</v>
      </c>
      <c r="F20" s="31" t="s">
        <v>19</v>
      </c>
      <c r="G20" s="33">
        <v>120</v>
      </c>
      <c r="H20" s="31" t="s">
        <v>20</v>
      </c>
      <c r="I20" s="34">
        <v>1247</v>
      </c>
      <c r="J20" s="25">
        <f>INT(data2!$B$5*data4!C20/data4!G20+data4!I20)</f>
        <v>1247</v>
      </c>
      <c r="L20" s="29">
        <v>2.5</v>
      </c>
      <c r="M20" s="29">
        <v>3</v>
      </c>
      <c r="N20" s="68">
        <v>30</v>
      </c>
      <c r="O20" s="69" t="s">
        <v>17</v>
      </c>
      <c r="P20" s="70" t="s">
        <v>47</v>
      </c>
      <c r="Q20" s="69" t="s">
        <v>19</v>
      </c>
      <c r="R20" s="71">
        <v>50000</v>
      </c>
      <c r="S20" s="69" t="s">
        <v>20</v>
      </c>
      <c r="T20" s="72">
        <v>820</v>
      </c>
      <c r="U20" s="25">
        <f>INT('格付け'!$J$18*data4!N20/data4!R20+data4!T20)</f>
        <v>820</v>
      </c>
      <c r="W20" s="2">
        <v>27</v>
      </c>
      <c r="X20" s="2">
        <v>30</v>
      </c>
      <c r="Y20" s="2">
        <v>820</v>
      </c>
    </row>
    <row r="21" spans="1:25" ht="17.25">
      <c r="A21" s="29">
        <v>510</v>
      </c>
      <c r="B21" s="29">
        <v>670</v>
      </c>
      <c r="C21" s="30">
        <v>62</v>
      </c>
      <c r="D21" s="31" t="s">
        <v>17</v>
      </c>
      <c r="E21" s="36" t="s">
        <v>41</v>
      </c>
      <c r="F21" s="31" t="s">
        <v>19</v>
      </c>
      <c r="G21" s="33">
        <v>160</v>
      </c>
      <c r="H21" s="31" t="s">
        <v>20</v>
      </c>
      <c r="I21" s="34">
        <v>1318</v>
      </c>
      <c r="J21" s="25">
        <f>INT(data2!$B$5*data4!C21/data4!G21+data4!I21)</f>
        <v>1318</v>
      </c>
      <c r="L21" s="29">
        <v>3</v>
      </c>
      <c r="M21" s="29">
        <v>4</v>
      </c>
      <c r="N21" s="68">
        <v>51</v>
      </c>
      <c r="O21" s="69" t="s">
        <v>17</v>
      </c>
      <c r="P21" s="70" t="s">
        <v>47</v>
      </c>
      <c r="Q21" s="69" t="s">
        <v>19</v>
      </c>
      <c r="R21" s="71">
        <v>100000</v>
      </c>
      <c r="S21" s="69" t="s">
        <v>20</v>
      </c>
      <c r="T21" s="72">
        <v>847</v>
      </c>
      <c r="U21" s="25">
        <f>INT('格付け'!$J$18*data4!N21/data4!R21+data4!T21)</f>
        <v>847</v>
      </c>
      <c r="W21" s="2">
        <v>26</v>
      </c>
      <c r="X21" s="2">
        <v>51</v>
      </c>
      <c r="Y21" s="2">
        <v>847</v>
      </c>
    </row>
    <row r="22" spans="1:25" ht="17.25">
      <c r="A22" s="29">
        <v>670</v>
      </c>
      <c r="B22" s="29">
        <v>870</v>
      </c>
      <c r="C22" s="30">
        <v>63</v>
      </c>
      <c r="D22" s="31" t="s">
        <v>17</v>
      </c>
      <c r="E22" s="36" t="s">
        <v>41</v>
      </c>
      <c r="F22" s="31" t="s">
        <v>19</v>
      </c>
      <c r="G22" s="33">
        <v>200</v>
      </c>
      <c r="H22" s="31" t="s">
        <v>20</v>
      </c>
      <c r="I22" s="34">
        <v>1367</v>
      </c>
      <c r="J22" s="25">
        <f>INT(data2!$B$5*data4!C22/data4!G22+data4!I22)</f>
        <v>1367</v>
      </c>
      <c r="L22" s="29">
        <v>4</v>
      </c>
      <c r="M22" s="29">
        <v>5</v>
      </c>
      <c r="N22" s="68">
        <v>40</v>
      </c>
      <c r="O22" s="69" t="s">
        <v>17</v>
      </c>
      <c r="P22" s="70" t="s">
        <v>47</v>
      </c>
      <c r="Q22" s="69" t="s">
        <v>19</v>
      </c>
      <c r="R22" s="71">
        <v>100000</v>
      </c>
      <c r="S22" s="69" t="s">
        <v>20</v>
      </c>
      <c r="T22" s="72">
        <v>891</v>
      </c>
      <c r="U22" s="25">
        <f>INT('格付け'!$J$18*data4!N22/data4!R22+data4!T22)</f>
        <v>891</v>
      </c>
      <c r="W22" s="2">
        <v>25</v>
      </c>
      <c r="X22" s="2">
        <v>40</v>
      </c>
      <c r="Y22" s="2">
        <v>891</v>
      </c>
    </row>
    <row r="23" spans="1:25" ht="17.25">
      <c r="A23" s="29">
        <v>870</v>
      </c>
      <c r="B23" s="29">
        <v>1130</v>
      </c>
      <c r="C23" s="30">
        <v>62</v>
      </c>
      <c r="D23" s="31" t="s">
        <v>17</v>
      </c>
      <c r="E23" s="36" t="s">
        <v>41</v>
      </c>
      <c r="F23" s="31" t="s">
        <v>19</v>
      </c>
      <c r="G23" s="33">
        <v>260</v>
      </c>
      <c r="H23" s="31" t="s">
        <v>20</v>
      </c>
      <c r="I23" s="34">
        <v>1434</v>
      </c>
      <c r="J23" s="25">
        <f>INT(data2!$B$5*data4!C23/data4!G23+data4!I23)</f>
        <v>1434</v>
      </c>
      <c r="L23" s="29">
        <v>5</v>
      </c>
      <c r="M23" s="29">
        <v>6</v>
      </c>
      <c r="N23" s="68">
        <v>36</v>
      </c>
      <c r="O23" s="69" t="s">
        <v>17</v>
      </c>
      <c r="P23" s="70" t="s">
        <v>47</v>
      </c>
      <c r="Q23" s="69" t="s">
        <v>19</v>
      </c>
      <c r="R23" s="71">
        <v>100000</v>
      </c>
      <c r="S23" s="69" t="s">
        <v>20</v>
      </c>
      <c r="T23" s="72">
        <v>911</v>
      </c>
      <c r="U23" s="25">
        <f>INT('格付け'!$J$18*data4!N23/data4!R23+data4!T23)</f>
        <v>911</v>
      </c>
      <c r="W23" s="2">
        <v>24</v>
      </c>
      <c r="X23" s="2">
        <v>36</v>
      </c>
      <c r="Y23" s="2">
        <v>911</v>
      </c>
    </row>
    <row r="24" spans="1:25" ht="17.25">
      <c r="A24" s="29">
        <v>1130</v>
      </c>
      <c r="B24" s="29">
        <v>1460</v>
      </c>
      <c r="C24" s="30">
        <v>63</v>
      </c>
      <c r="D24" s="31" t="s">
        <v>17</v>
      </c>
      <c r="E24" s="36" t="s">
        <v>41</v>
      </c>
      <c r="F24" s="31" t="s">
        <v>19</v>
      </c>
      <c r="G24" s="33">
        <v>330</v>
      </c>
      <c r="H24" s="31" t="s">
        <v>20</v>
      </c>
      <c r="I24" s="34">
        <v>1488</v>
      </c>
      <c r="J24" s="25">
        <f>INT(data2!$B$5*data4!C24/data4!G24+data4!I24)</f>
        <v>1488</v>
      </c>
      <c r="L24" s="29">
        <v>6</v>
      </c>
      <c r="M24" s="29">
        <v>8</v>
      </c>
      <c r="N24" s="68">
        <v>57</v>
      </c>
      <c r="O24" s="69" t="s">
        <v>17</v>
      </c>
      <c r="P24" s="70" t="s">
        <v>47</v>
      </c>
      <c r="Q24" s="69" t="s">
        <v>19</v>
      </c>
      <c r="R24" s="71">
        <v>200000</v>
      </c>
      <c r="S24" s="69" t="s">
        <v>20</v>
      </c>
      <c r="T24" s="72">
        <v>956</v>
      </c>
      <c r="U24" s="25">
        <f>INT('格付け'!$J$18*data4!N24/data4!R24+data4!T24)</f>
        <v>956</v>
      </c>
      <c r="W24" s="2">
        <v>23</v>
      </c>
      <c r="X24" s="2">
        <v>57</v>
      </c>
      <c r="Y24" s="2">
        <v>956</v>
      </c>
    </row>
    <row r="25" spans="1:25" ht="17.25">
      <c r="A25" s="29">
        <v>1460</v>
      </c>
      <c r="B25" s="29">
        <v>1900</v>
      </c>
      <c r="C25" s="30">
        <v>63</v>
      </c>
      <c r="D25" s="31" t="s">
        <v>17</v>
      </c>
      <c r="E25" s="36" t="s">
        <v>41</v>
      </c>
      <c r="F25" s="31" t="s">
        <v>19</v>
      </c>
      <c r="G25" s="33">
        <v>440</v>
      </c>
      <c r="H25" s="31" t="s">
        <v>20</v>
      </c>
      <c r="I25" s="34">
        <v>1558</v>
      </c>
      <c r="J25" s="25">
        <f>INT(data2!$B$5*data4!C25/data4!G25+data4!I25)</f>
        <v>1558</v>
      </c>
      <c r="L25" s="29">
        <v>8</v>
      </c>
      <c r="M25" s="29">
        <v>10</v>
      </c>
      <c r="N25" s="68">
        <v>47</v>
      </c>
      <c r="O25" s="69" t="s">
        <v>17</v>
      </c>
      <c r="P25" s="70" t="s">
        <v>47</v>
      </c>
      <c r="Q25" s="69" t="s">
        <v>19</v>
      </c>
      <c r="R25" s="71">
        <v>200000</v>
      </c>
      <c r="S25" s="69" t="s">
        <v>20</v>
      </c>
      <c r="T25" s="72">
        <v>996</v>
      </c>
      <c r="U25" s="25">
        <f>INT('格付け'!$J$18*data4!N25/data4!R25+data4!T25)</f>
        <v>996</v>
      </c>
      <c r="W25" s="2">
        <v>22</v>
      </c>
      <c r="X25" s="2">
        <v>47</v>
      </c>
      <c r="Y25" s="2">
        <v>996</v>
      </c>
    </row>
    <row r="26" spans="1:25" ht="17.25">
      <c r="A26" s="29">
        <v>1900</v>
      </c>
      <c r="B26" s="29">
        <v>2470</v>
      </c>
      <c r="C26" s="30">
        <v>62</v>
      </c>
      <c r="D26" s="31" t="s">
        <v>17</v>
      </c>
      <c r="E26" s="36" t="s">
        <v>41</v>
      </c>
      <c r="F26" s="31" t="s">
        <v>19</v>
      </c>
      <c r="G26" s="33">
        <v>570</v>
      </c>
      <c r="H26" s="31" t="s">
        <v>20</v>
      </c>
      <c r="I26" s="34">
        <v>1624</v>
      </c>
      <c r="J26" s="25">
        <f>INT(data2!$B$5*data4!C26/data4!G26+data4!I26)</f>
        <v>1624</v>
      </c>
      <c r="L26" s="29">
        <v>10</v>
      </c>
      <c r="M26" s="29">
        <v>12</v>
      </c>
      <c r="N26" s="68">
        <v>41</v>
      </c>
      <c r="O26" s="69" t="s">
        <v>17</v>
      </c>
      <c r="P26" s="70" t="s">
        <v>47</v>
      </c>
      <c r="Q26" s="69" t="s">
        <v>19</v>
      </c>
      <c r="R26" s="71">
        <v>200000</v>
      </c>
      <c r="S26" s="69" t="s">
        <v>20</v>
      </c>
      <c r="T26" s="72">
        <v>1026</v>
      </c>
      <c r="U26" s="25">
        <f>INT('格付け'!$J$18*data4!N26/data4!R26+data4!T26)</f>
        <v>1026</v>
      </c>
      <c r="W26" s="2">
        <v>21</v>
      </c>
      <c r="X26" s="2">
        <v>41</v>
      </c>
      <c r="Y26" s="2">
        <v>1026</v>
      </c>
    </row>
    <row r="27" spans="1:25" ht="17.25">
      <c r="A27" s="29">
        <v>2470</v>
      </c>
      <c r="B27" s="29">
        <v>3210</v>
      </c>
      <c r="C27" s="30">
        <v>62</v>
      </c>
      <c r="D27" s="31" t="s">
        <v>17</v>
      </c>
      <c r="E27" s="36" t="s">
        <v>41</v>
      </c>
      <c r="F27" s="31" t="s">
        <v>19</v>
      </c>
      <c r="G27" s="33">
        <v>740</v>
      </c>
      <c r="H27" s="31" t="s">
        <v>20</v>
      </c>
      <c r="I27" s="34">
        <v>1686</v>
      </c>
      <c r="J27" s="25">
        <f>INT(data2!$B$5*data4!C27/data4!G27+data4!I27)</f>
        <v>1686</v>
      </c>
      <c r="L27" s="29">
        <v>12</v>
      </c>
      <c r="M27" s="29">
        <v>15</v>
      </c>
      <c r="N27" s="68">
        <v>50</v>
      </c>
      <c r="O27" s="69" t="s">
        <v>17</v>
      </c>
      <c r="P27" s="70" t="s">
        <v>47</v>
      </c>
      <c r="Q27" s="69" t="s">
        <v>19</v>
      </c>
      <c r="R27" s="71">
        <v>300000</v>
      </c>
      <c r="S27" s="69" t="s">
        <v>20</v>
      </c>
      <c r="T27" s="72">
        <v>1072</v>
      </c>
      <c r="U27" s="25">
        <f>INT('格付け'!$J$18*data4!N27/data4!R27+data4!T27)</f>
        <v>1072</v>
      </c>
      <c r="W27" s="2">
        <v>20</v>
      </c>
      <c r="X27" s="2">
        <v>50</v>
      </c>
      <c r="Y27" s="2">
        <v>1072</v>
      </c>
    </row>
    <row r="28" spans="1:25" ht="17.25">
      <c r="A28" s="29">
        <v>3210</v>
      </c>
      <c r="B28" s="29">
        <v>4180</v>
      </c>
      <c r="C28" s="30">
        <v>63</v>
      </c>
      <c r="D28" s="31" t="s">
        <v>17</v>
      </c>
      <c r="E28" s="36" t="s">
        <v>41</v>
      </c>
      <c r="F28" s="31" t="s">
        <v>19</v>
      </c>
      <c r="G28" s="33">
        <v>970</v>
      </c>
      <c r="H28" s="31" t="s">
        <v>20</v>
      </c>
      <c r="I28" s="34">
        <v>1747</v>
      </c>
      <c r="J28" s="25">
        <f>INT(data2!$B$5*data4!C28/data4!G28+data4!I28)</f>
        <v>1747</v>
      </c>
      <c r="L28" s="29">
        <v>15</v>
      </c>
      <c r="M28" s="29">
        <v>20</v>
      </c>
      <c r="N28" s="68">
        <v>70</v>
      </c>
      <c r="O28" s="69" t="s">
        <v>17</v>
      </c>
      <c r="P28" s="70" t="s">
        <v>47</v>
      </c>
      <c r="Q28" s="69" t="s">
        <v>19</v>
      </c>
      <c r="R28" s="71">
        <v>500000</v>
      </c>
      <c r="S28" s="69" t="s">
        <v>20</v>
      </c>
      <c r="T28" s="72">
        <v>1112</v>
      </c>
      <c r="U28" s="25">
        <f>INT('格付け'!$J$18*data4!N28/data4!R28+data4!T28)</f>
        <v>1112</v>
      </c>
      <c r="W28" s="2">
        <v>19</v>
      </c>
      <c r="X28" s="2">
        <v>70</v>
      </c>
      <c r="Y28" s="2">
        <v>1112</v>
      </c>
    </row>
    <row r="29" spans="1:25" ht="17.25">
      <c r="A29" s="29">
        <v>4180</v>
      </c>
      <c r="B29" s="29">
        <v>5430</v>
      </c>
      <c r="C29" s="30">
        <v>63</v>
      </c>
      <c r="D29" s="31" t="s">
        <v>17</v>
      </c>
      <c r="E29" s="36" t="s">
        <v>41</v>
      </c>
      <c r="F29" s="31" t="s">
        <v>19</v>
      </c>
      <c r="G29" s="33">
        <v>1250</v>
      </c>
      <c r="H29" s="31" t="s">
        <v>20</v>
      </c>
      <c r="I29" s="34">
        <v>1808</v>
      </c>
      <c r="J29" s="25">
        <f>INT(data2!$B$5*data4!C29/data4!G29+data4!I29)</f>
        <v>1808</v>
      </c>
      <c r="L29" s="29">
        <v>20</v>
      </c>
      <c r="M29" s="29">
        <v>25</v>
      </c>
      <c r="N29" s="68">
        <v>57</v>
      </c>
      <c r="O29" s="69" t="s">
        <v>17</v>
      </c>
      <c r="P29" s="70" t="s">
        <v>47</v>
      </c>
      <c r="Q29" s="69" t="s">
        <v>19</v>
      </c>
      <c r="R29" s="71">
        <v>500000</v>
      </c>
      <c r="S29" s="69" t="s">
        <v>20</v>
      </c>
      <c r="T29" s="72">
        <v>1164</v>
      </c>
      <c r="U29" s="25">
        <f>INT('格付け'!$J$18*data4!N29/data4!R29+data4!T29)</f>
        <v>1164</v>
      </c>
      <c r="W29" s="2">
        <v>18</v>
      </c>
      <c r="X29" s="2">
        <v>57</v>
      </c>
      <c r="Y29" s="2">
        <v>1164</v>
      </c>
    </row>
    <row r="30" spans="1:25" ht="17.25">
      <c r="A30" s="29">
        <v>5430</v>
      </c>
      <c r="B30" s="29">
        <v>7060</v>
      </c>
      <c r="C30" s="30">
        <v>62</v>
      </c>
      <c r="D30" s="31" t="s">
        <v>17</v>
      </c>
      <c r="E30" s="36" t="s">
        <v>41</v>
      </c>
      <c r="F30" s="31" t="s">
        <v>19</v>
      </c>
      <c r="G30" s="33">
        <v>1630</v>
      </c>
      <c r="H30" s="31" t="s">
        <v>20</v>
      </c>
      <c r="I30" s="34">
        <v>1876</v>
      </c>
      <c r="J30" s="25">
        <f>INT(data2!$B$5*data4!C30/data4!G30+data4!I30)</f>
        <v>1876</v>
      </c>
      <c r="L30" s="29">
        <v>25</v>
      </c>
      <c r="M30" s="29">
        <v>30</v>
      </c>
      <c r="N30" s="68">
        <v>48</v>
      </c>
      <c r="O30" s="69" t="s">
        <v>17</v>
      </c>
      <c r="P30" s="70" t="s">
        <v>47</v>
      </c>
      <c r="Q30" s="69" t="s">
        <v>19</v>
      </c>
      <c r="R30" s="71">
        <v>500000</v>
      </c>
      <c r="S30" s="69" t="s">
        <v>20</v>
      </c>
      <c r="T30" s="72">
        <v>1209</v>
      </c>
      <c r="U30" s="25">
        <f>INT('格付け'!$J$18*data4!N30/data4!R30+data4!T30)</f>
        <v>1209</v>
      </c>
      <c r="W30" s="2">
        <v>17</v>
      </c>
      <c r="X30" s="2">
        <v>48</v>
      </c>
      <c r="Y30" s="2">
        <v>1209</v>
      </c>
    </row>
    <row r="31" spans="1:25" ht="17.25">
      <c r="A31" s="29">
        <v>7060</v>
      </c>
      <c r="B31" s="29">
        <v>9180</v>
      </c>
      <c r="C31" s="30">
        <v>62</v>
      </c>
      <c r="D31" s="31" t="s">
        <v>17</v>
      </c>
      <c r="E31" s="36" t="s">
        <v>41</v>
      </c>
      <c r="F31" s="31" t="s">
        <v>19</v>
      </c>
      <c r="G31" s="33">
        <v>2120</v>
      </c>
      <c r="H31" s="31" t="s">
        <v>20</v>
      </c>
      <c r="I31" s="34">
        <v>1939</v>
      </c>
      <c r="J31" s="25">
        <f>INT(data2!$B$5*data4!C31/data4!G31+data4!I31)</f>
        <v>1939</v>
      </c>
      <c r="L31" s="29">
        <v>30</v>
      </c>
      <c r="M31" s="29">
        <v>40</v>
      </c>
      <c r="N31" s="68">
        <v>79</v>
      </c>
      <c r="O31" s="69" t="s">
        <v>17</v>
      </c>
      <c r="P31" s="70" t="s">
        <v>47</v>
      </c>
      <c r="Q31" s="69" t="s">
        <v>19</v>
      </c>
      <c r="R31" s="71">
        <v>1000000</v>
      </c>
      <c r="S31" s="69" t="s">
        <v>20</v>
      </c>
      <c r="T31" s="72">
        <v>1260</v>
      </c>
      <c r="U31" s="25">
        <f>INT('格付け'!$J$18*data4!N31/data4!R31+data4!T31)</f>
        <v>1260</v>
      </c>
      <c r="W31" s="2">
        <v>16</v>
      </c>
      <c r="X31" s="2">
        <v>79</v>
      </c>
      <c r="Y31" s="2">
        <v>1260</v>
      </c>
    </row>
    <row r="32" spans="1:25" ht="17.25">
      <c r="A32" s="29">
        <v>9180</v>
      </c>
      <c r="B32" s="29">
        <v>11930</v>
      </c>
      <c r="C32" s="30">
        <v>63</v>
      </c>
      <c r="D32" s="31" t="s">
        <v>17</v>
      </c>
      <c r="E32" s="36" t="s">
        <v>41</v>
      </c>
      <c r="F32" s="31" t="s">
        <v>19</v>
      </c>
      <c r="G32" s="33">
        <v>2750</v>
      </c>
      <c r="H32" s="31" t="s">
        <v>20</v>
      </c>
      <c r="I32" s="34">
        <v>1998</v>
      </c>
      <c r="J32" s="25">
        <f>INT(data2!$B$5*data4!C32/data4!G32+data4!I32)</f>
        <v>1998</v>
      </c>
      <c r="L32" s="29">
        <v>40</v>
      </c>
      <c r="M32" s="29">
        <v>50</v>
      </c>
      <c r="N32" s="68">
        <v>66</v>
      </c>
      <c r="O32" s="69" t="s">
        <v>17</v>
      </c>
      <c r="P32" s="70" t="s">
        <v>47</v>
      </c>
      <c r="Q32" s="69" t="s">
        <v>19</v>
      </c>
      <c r="R32" s="71">
        <v>1000000</v>
      </c>
      <c r="S32" s="69" t="s">
        <v>20</v>
      </c>
      <c r="T32" s="72">
        <v>1312</v>
      </c>
      <c r="U32" s="25">
        <f>INT('格付け'!$J$18*data4!N32/data4!R32+data4!T32)</f>
        <v>1312</v>
      </c>
      <c r="W32" s="2">
        <v>15</v>
      </c>
      <c r="X32" s="2">
        <v>66</v>
      </c>
      <c r="Y32" s="2">
        <v>1312</v>
      </c>
    </row>
    <row r="33" spans="1:25" ht="17.25">
      <c r="A33" s="29">
        <v>11930</v>
      </c>
      <c r="B33" s="29">
        <v>15500</v>
      </c>
      <c r="C33" s="30">
        <v>62</v>
      </c>
      <c r="D33" s="31" t="s">
        <v>17</v>
      </c>
      <c r="E33" s="36" t="s">
        <v>41</v>
      </c>
      <c r="F33" s="31" t="s">
        <v>19</v>
      </c>
      <c r="G33" s="33">
        <v>3570</v>
      </c>
      <c r="H33" s="31" t="s">
        <v>20</v>
      </c>
      <c r="I33" s="34">
        <v>2065</v>
      </c>
      <c r="J33" s="25">
        <f>INT(data2!$B$5*data4!C33/data4!G33+data4!I33)</f>
        <v>2065</v>
      </c>
      <c r="L33" s="29">
        <v>50</v>
      </c>
      <c r="M33" s="29">
        <v>60</v>
      </c>
      <c r="N33" s="68">
        <v>55</v>
      </c>
      <c r="O33" s="69" t="s">
        <v>17</v>
      </c>
      <c r="P33" s="70" t="s">
        <v>47</v>
      </c>
      <c r="Q33" s="69" t="s">
        <v>19</v>
      </c>
      <c r="R33" s="71">
        <v>1000000</v>
      </c>
      <c r="S33" s="69" t="s">
        <v>20</v>
      </c>
      <c r="T33" s="72">
        <v>1367</v>
      </c>
      <c r="U33" s="25">
        <f>INT('格付け'!$J$18*data4!N33/data4!R33+data4!T33)</f>
        <v>1367</v>
      </c>
      <c r="W33" s="2">
        <v>14</v>
      </c>
      <c r="X33" s="2">
        <v>55</v>
      </c>
      <c r="Y33" s="2">
        <v>1367</v>
      </c>
    </row>
    <row r="34" spans="1:25" ht="17.25">
      <c r="A34" s="29">
        <v>15500</v>
      </c>
      <c r="B34" s="29"/>
      <c r="C34" s="30"/>
      <c r="D34" s="31"/>
      <c r="E34" s="32"/>
      <c r="F34" s="31"/>
      <c r="G34" s="33"/>
      <c r="H34" s="31"/>
      <c r="I34" s="34">
        <v>2335</v>
      </c>
      <c r="J34" s="25">
        <f>I34</f>
        <v>2335</v>
      </c>
      <c r="L34" s="29">
        <v>60</v>
      </c>
      <c r="M34" s="29">
        <v>80</v>
      </c>
      <c r="N34" s="68">
        <v>92</v>
      </c>
      <c r="O34" s="69" t="s">
        <v>17</v>
      </c>
      <c r="P34" s="70" t="s">
        <v>47</v>
      </c>
      <c r="Q34" s="69" t="s">
        <v>19</v>
      </c>
      <c r="R34" s="71">
        <v>2000000</v>
      </c>
      <c r="S34" s="69" t="s">
        <v>20</v>
      </c>
      <c r="T34" s="72">
        <v>1421</v>
      </c>
      <c r="U34" s="25">
        <f>INT('格付け'!$J$18*data4!N34/data4!R34+data4!T34)</f>
        <v>1421</v>
      </c>
      <c r="W34" s="2">
        <v>13</v>
      </c>
      <c r="X34" s="2">
        <v>92</v>
      </c>
      <c r="Y34" s="2">
        <v>1421</v>
      </c>
    </row>
    <row r="35" spans="1:25" ht="17.25">
      <c r="A35" s="29"/>
      <c r="B35" s="29"/>
      <c r="C35" s="30"/>
      <c r="D35" s="31"/>
      <c r="E35" s="36"/>
      <c r="F35" s="31"/>
      <c r="G35" s="33"/>
      <c r="H35" s="31"/>
      <c r="I35" s="34"/>
      <c r="J35" s="25"/>
      <c r="L35" s="29">
        <v>80</v>
      </c>
      <c r="M35" s="29">
        <v>100</v>
      </c>
      <c r="N35" s="68">
        <v>75</v>
      </c>
      <c r="O35" s="69" t="s">
        <v>17</v>
      </c>
      <c r="P35" s="70" t="s">
        <v>47</v>
      </c>
      <c r="Q35" s="69" t="s">
        <v>19</v>
      </c>
      <c r="R35" s="71">
        <v>2000000</v>
      </c>
      <c r="S35" s="69" t="s">
        <v>20</v>
      </c>
      <c r="T35" s="72">
        <v>1489</v>
      </c>
      <c r="U35" s="25">
        <f>INT('格付け'!$J$18*data4!N35/data4!R35+data4!T35)</f>
        <v>1489</v>
      </c>
      <c r="W35" s="2">
        <v>12</v>
      </c>
      <c r="X35" s="2">
        <v>75</v>
      </c>
      <c r="Y35" s="2">
        <v>1489</v>
      </c>
    </row>
    <row r="36" spans="1:25" ht="17.25">
      <c r="A36" s="29"/>
      <c r="B36" s="29"/>
      <c r="C36" s="30"/>
      <c r="D36" s="31"/>
      <c r="E36" s="36"/>
      <c r="F36" s="31"/>
      <c r="G36" s="33"/>
      <c r="H36" s="31"/>
      <c r="I36" s="34"/>
      <c r="J36" s="25"/>
      <c r="L36" s="29">
        <v>100</v>
      </c>
      <c r="M36" s="29">
        <v>120</v>
      </c>
      <c r="N36" s="68">
        <v>63</v>
      </c>
      <c r="O36" s="69" t="s">
        <v>17</v>
      </c>
      <c r="P36" s="70" t="s">
        <v>47</v>
      </c>
      <c r="Q36" s="69" t="s">
        <v>19</v>
      </c>
      <c r="R36" s="71">
        <v>2000000</v>
      </c>
      <c r="S36" s="69" t="s">
        <v>20</v>
      </c>
      <c r="T36" s="72">
        <v>1549</v>
      </c>
      <c r="U36" s="25">
        <f>INT('格付け'!$J$18*data4!N36/data4!R36+data4!T36)</f>
        <v>1549</v>
      </c>
      <c r="W36" s="2">
        <v>11</v>
      </c>
      <c r="X36" s="2">
        <v>63</v>
      </c>
      <c r="Y36" s="2">
        <v>1549</v>
      </c>
    </row>
    <row r="37" spans="1:25" ht="17.25">
      <c r="A37" s="29"/>
      <c r="B37" s="29"/>
      <c r="C37" s="30"/>
      <c r="D37" s="31"/>
      <c r="E37" s="36"/>
      <c r="F37" s="31"/>
      <c r="G37" s="33"/>
      <c r="H37" s="31"/>
      <c r="I37" s="34"/>
      <c r="J37" s="25"/>
      <c r="L37" s="29">
        <v>120</v>
      </c>
      <c r="M37" s="29">
        <v>150</v>
      </c>
      <c r="N37" s="68">
        <v>81</v>
      </c>
      <c r="O37" s="69" t="s">
        <v>17</v>
      </c>
      <c r="P37" s="70" t="s">
        <v>47</v>
      </c>
      <c r="Q37" s="69" t="s">
        <v>19</v>
      </c>
      <c r="R37" s="71">
        <v>3000000</v>
      </c>
      <c r="S37" s="69" t="s">
        <v>20</v>
      </c>
      <c r="T37" s="72">
        <v>1603</v>
      </c>
      <c r="U37" s="25">
        <f>INT('格付け'!$J$18*data4!N37/data4!R37+data4!T37)</f>
        <v>1603</v>
      </c>
      <c r="W37" s="2">
        <v>10</v>
      </c>
      <c r="X37" s="2">
        <v>81</v>
      </c>
      <c r="Y37" s="2">
        <v>1603</v>
      </c>
    </row>
    <row r="38" spans="1:25" ht="17.25">
      <c r="A38" s="29"/>
      <c r="B38" s="29"/>
      <c r="C38" s="30"/>
      <c r="D38" s="31"/>
      <c r="E38" s="36"/>
      <c r="F38" s="31"/>
      <c r="G38" s="33"/>
      <c r="H38" s="31"/>
      <c r="I38" s="34"/>
      <c r="J38" s="25"/>
      <c r="L38" s="29">
        <v>150</v>
      </c>
      <c r="M38" s="29">
        <v>200</v>
      </c>
      <c r="N38" s="68">
        <v>110</v>
      </c>
      <c r="O38" s="69" t="s">
        <v>17</v>
      </c>
      <c r="P38" s="70" t="s">
        <v>47</v>
      </c>
      <c r="Q38" s="69" t="s">
        <v>19</v>
      </c>
      <c r="R38" s="71">
        <v>5000000</v>
      </c>
      <c r="S38" s="69" t="s">
        <v>20</v>
      </c>
      <c r="T38" s="72">
        <v>1678</v>
      </c>
      <c r="U38" s="25">
        <f>INT('格付け'!$J$18*data4!N38/data4!R38+data4!T38)</f>
        <v>1678</v>
      </c>
      <c r="W38" s="2">
        <v>9</v>
      </c>
      <c r="X38" s="2">
        <v>110</v>
      </c>
      <c r="Y38" s="2">
        <v>1678</v>
      </c>
    </row>
    <row r="39" spans="1:25" ht="17.25">
      <c r="A39" s="29"/>
      <c r="B39" s="29"/>
      <c r="C39" s="30"/>
      <c r="D39" s="31"/>
      <c r="E39" s="36"/>
      <c r="F39" s="31"/>
      <c r="G39" s="33"/>
      <c r="H39" s="31"/>
      <c r="I39" s="34"/>
      <c r="J39" s="25"/>
      <c r="L39" s="29">
        <v>200</v>
      </c>
      <c r="M39" s="29">
        <v>250</v>
      </c>
      <c r="N39" s="68">
        <v>90</v>
      </c>
      <c r="O39" s="69" t="s">
        <v>17</v>
      </c>
      <c r="P39" s="70" t="s">
        <v>47</v>
      </c>
      <c r="Q39" s="69" t="s">
        <v>19</v>
      </c>
      <c r="R39" s="71">
        <v>5000000</v>
      </c>
      <c r="S39" s="69" t="s">
        <v>20</v>
      </c>
      <c r="T39" s="72">
        <v>1758</v>
      </c>
      <c r="U39" s="25">
        <f>INT('格付け'!$J$18*data4!N39/data4!R39+data4!T39)</f>
        <v>1758</v>
      </c>
      <c r="W39" s="2">
        <v>8</v>
      </c>
      <c r="X39" s="2">
        <v>90</v>
      </c>
      <c r="Y39" s="2">
        <v>1758</v>
      </c>
    </row>
    <row r="40" spans="1:25" ht="17.25">
      <c r="A40" s="29"/>
      <c r="B40" s="29"/>
      <c r="C40" s="30"/>
      <c r="D40" s="31"/>
      <c r="E40" s="36"/>
      <c r="F40" s="31"/>
      <c r="G40" s="33"/>
      <c r="H40" s="31"/>
      <c r="I40" s="34"/>
      <c r="J40" s="25"/>
      <c r="L40" s="29">
        <v>250</v>
      </c>
      <c r="M40" s="29">
        <v>300</v>
      </c>
      <c r="N40" s="68">
        <v>76</v>
      </c>
      <c r="O40" s="69" t="s">
        <v>17</v>
      </c>
      <c r="P40" s="70" t="s">
        <v>47</v>
      </c>
      <c r="Q40" s="69" t="s">
        <v>19</v>
      </c>
      <c r="R40" s="71">
        <v>5000000</v>
      </c>
      <c r="S40" s="69" t="s">
        <v>20</v>
      </c>
      <c r="T40" s="72">
        <v>1828</v>
      </c>
      <c r="U40" s="25">
        <f>INT('格付け'!$J$18*data4!N40/data4!R40+data4!T40)</f>
        <v>1828</v>
      </c>
      <c r="W40" s="2">
        <v>7</v>
      </c>
      <c r="X40" s="2">
        <v>76</v>
      </c>
      <c r="Y40" s="2">
        <v>1828</v>
      </c>
    </row>
    <row r="41" spans="1:25" ht="17.25">
      <c r="A41" s="29"/>
      <c r="B41" s="29"/>
      <c r="C41" s="30"/>
      <c r="D41" s="31"/>
      <c r="E41" s="36"/>
      <c r="F41" s="31"/>
      <c r="G41" s="33"/>
      <c r="H41" s="31"/>
      <c r="I41" s="34"/>
      <c r="J41" s="25"/>
      <c r="L41" s="29">
        <v>300</v>
      </c>
      <c r="M41" s="29">
        <v>400</v>
      </c>
      <c r="N41" s="68">
        <v>126</v>
      </c>
      <c r="O41" s="69" t="s">
        <v>17</v>
      </c>
      <c r="P41" s="70" t="s">
        <v>47</v>
      </c>
      <c r="Q41" s="69" t="s">
        <v>19</v>
      </c>
      <c r="R41" s="71">
        <v>10000000</v>
      </c>
      <c r="S41" s="69" t="s">
        <v>20</v>
      </c>
      <c r="T41" s="72">
        <v>1906</v>
      </c>
      <c r="U41" s="25">
        <f>INT('格付け'!$J$18*data4!N41/data4!R41+data4!T41)</f>
        <v>1906</v>
      </c>
      <c r="W41" s="2">
        <v>6</v>
      </c>
      <c r="X41" s="2">
        <v>126</v>
      </c>
      <c r="Y41" s="2">
        <v>1906</v>
      </c>
    </row>
    <row r="42" spans="1:25" ht="17.25">
      <c r="A42" s="29"/>
      <c r="B42" s="29"/>
      <c r="C42" s="30"/>
      <c r="D42" s="31"/>
      <c r="E42" s="36"/>
      <c r="F42" s="31"/>
      <c r="G42" s="33"/>
      <c r="H42" s="31"/>
      <c r="I42" s="34"/>
      <c r="J42" s="25"/>
      <c r="L42" s="29">
        <v>400</v>
      </c>
      <c r="M42" s="29">
        <v>500</v>
      </c>
      <c r="N42" s="68">
        <v>104</v>
      </c>
      <c r="O42" s="69" t="s">
        <v>17</v>
      </c>
      <c r="P42" s="70" t="s">
        <v>47</v>
      </c>
      <c r="Q42" s="69" t="s">
        <v>19</v>
      </c>
      <c r="R42" s="71">
        <v>10000000</v>
      </c>
      <c r="S42" s="69" t="s">
        <v>20</v>
      </c>
      <c r="T42" s="72">
        <v>1994</v>
      </c>
      <c r="U42" s="25">
        <f>INT('格付け'!$J$18*data4!N42/data4!R42+data4!T42)</f>
        <v>1994</v>
      </c>
      <c r="W42" s="2">
        <v>5</v>
      </c>
      <c r="X42" s="2">
        <v>104</v>
      </c>
      <c r="Y42" s="2">
        <v>1994</v>
      </c>
    </row>
    <row r="43" spans="1:25" ht="17.25">
      <c r="A43" s="29"/>
      <c r="B43" s="29"/>
      <c r="C43" s="30"/>
      <c r="D43" s="31"/>
      <c r="E43" s="36"/>
      <c r="F43" s="31"/>
      <c r="G43" s="33"/>
      <c r="H43" s="31"/>
      <c r="I43" s="34"/>
      <c r="J43" s="25"/>
      <c r="L43" s="29">
        <v>500</v>
      </c>
      <c r="M43" s="29">
        <v>600</v>
      </c>
      <c r="N43" s="68">
        <v>87</v>
      </c>
      <c r="O43" s="69" t="s">
        <v>17</v>
      </c>
      <c r="P43" s="70" t="s">
        <v>47</v>
      </c>
      <c r="Q43" s="69" t="s">
        <v>19</v>
      </c>
      <c r="R43" s="71">
        <v>10000000</v>
      </c>
      <c r="S43" s="69" t="s">
        <v>20</v>
      </c>
      <c r="T43" s="72">
        <v>2079</v>
      </c>
      <c r="U43" s="25">
        <f>INT('格付け'!$J$18*data4!N43/data4!R43+data4!T43)</f>
        <v>2079</v>
      </c>
      <c r="W43" s="2">
        <v>4</v>
      </c>
      <c r="X43" s="2">
        <v>87</v>
      </c>
      <c r="Y43" s="2">
        <v>2079</v>
      </c>
    </row>
    <row r="44" spans="1:25" ht="17.25">
      <c r="A44" s="29"/>
      <c r="B44" s="29"/>
      <c r="C44" s="30"/>
      <c r="D44" s="31"/>
      <c r="E44" s="36"/>
      <c r="F44" s="31"/>
      <c r="G44" s="33"/>
      <c r="H44" s="31"/>
      <c r="I44" s="34"/>
      <c r="J44" s="25"/>
      <c r="L44" s="29">
        <v>600</v>
      </c>
      <c r="M44" s="29">
        <v>800</v>
      </c>
      <c r="N44" s="68">
        <v>145</v>
      </c>
      <c r="O44" s="69" t="s">
        <v>17</v>
      </c>
      <c r="P44" s="70" t="s">
        <v>47</v>
      </c>
      <c r="Q44" s="69" t="s">
        <v>19</v>
      </c>
      <c r="R44" s="71">
        <v>20000000</v>
      </c>
      <c r="S44" s="69" t="s">
        <v>20</v>
      </c>
      <c r="T44" s="72">
        <v>2166</v>
      </c>
      <c r="U44" s="25">
        <f>INT('格付け'!$J$18*data4!N44/data4!R44+data4!T44)</f>
        <v>2166</v>
      </c>
      <c r="W44" s="2">
        <v>3</v>
      </c>
      <c r="X44" s="2">
        <v>145</v>
      </c>
      <c r="Y44" s="2">
        <v>2166</v>
      </c>
    </row>
    <row r="45" spans="1:25" ht="17.25">
      <c r="A45" s="29"/>
      <c r="B45" s="29"/>
      <c r="C45" s="30"/>
      <c r="D45" s="31"/>
      <c r="E45" s="36"/>
      <c r="F45" s="31"/>
      <c r="G45" s="33"/>
      <c r="H45" s="31"/>
      <c r="I45" s="34"/>
      <c r="J45" s="25"/>
      <c r="L45" s="29">
        <v>800</v>
      </c>
      <c r="M45" s="29">
        <v>1000</v>
      </c>
      <c r="N45" s="68">
        <v>119</v>
      </c>
      <c r="O45" s="69" t="s">
        <v>17</v>
      </c>
      <c r="P45" s="70" t="s">
        <v>47</v>
      </c>
      <c r="Q45" s="69" t="s">
        <v>19</v>
      </c>
      <c r="R45" s="71">
        <v>20000000</v>
      </c>
      <c r="S45" s="69" t="s">
        <v>20</v>
      </c>
      <c r="T45" s="72">
        <v>2270</v>
      </c>
      <c r="U45" s="25">
        <f>INT('格付け'!$J$18*data4!N45/data4!R45+data4!T45)</f>
        <v>2270</v>
      </c>
      <c r="W45" s="2">
        <v>2</v>
      </c>
      <c r="X45" s="2">
        <v>119</v>
      </c>
      <c r="Y45" s="2">
        <v>2270</v>
      </c>
    </row>
    <row r="46" spans="1:25" ht="17.25">
      <c r="A46" s="29"/>
      <c r="B46" s="29"/>
      <c r="C46" s="30"/>
      <c r="D46" s="31"/>
      <c r="E46" s="36"/>
      <c r="F46" s="31"/>
      <c r="G46" s="33"/>
      <c r="H46" s="31"/>
      <c r="I46" s="34"/>
      <c r="J46" s="25"/>
      <c r="L46" s="29">
        <v>1000</v>
      </c>
      <c r="M46" s="29"/>
      <c r="N46" s="30"/>
      <c r="O46" s="31"/>
      <c r="P46" s="32"/>
      <c r="Q46" s="31"/>
      <c r="R46" s="33"/>
      <c r="S46" s="31"/>
      <c r="T46" s="67">
        <v>2865</v>
      </c>
      <c r="U46" s="25">
        <f>T46</f>
        <v>2865</v>
      </c>
      <c r="W46" s="2">
        <v>1</v>
      </c>
      <c r="Y46" s="2">
        <v>2685</v>
      </c>
    </row>
    <row r="47" spans="1:21" ht="17.25">
      <c r="A47" s="29"/>
      <c r="B47" s="29"/>
      <c r="C47" s="30"/>
      <c r="D47" s="31"/>
      <c r="E47" s="36"/>
      <c r="F47" s="31"/>
      <c r="G47" s="33"/>
      <c r="H47" s="31"/>
      <c r="I47" s="34"/>
      <c r="J47" s="25"/>
      <c r="L47" s="29"/>
      <c r="M47" s="29"/>
      <c r="N47" s="30"/>
      <c r="O47" s="31"/>
      <c r="P47" s="36"/>
      <c r="Q47" s="31"/>
      <c r="R47" s="33"/>
      <c r="S47" s="31"/>
      <c r="T47" s="34"/>
      <c r="U47" s="25"/>
    </row>
    <row r="48" spans="1:21" ht="17.25">
      <c r="A48" s="29"/>
      <c r="B48" s="29"/>
      <c r="C48" s="30"/>
      <c r="D48" s="31"/>
      <c r="E48" s="36"/>
      <c r="F48" s="31"/>
      <c r="G48" s="33"/>
      <c r="H48" s="31"/>
      <c r="I48" s="34"/>
      <c r="J48" s="25"/>
      <c r="L48" s="29"/>
      <c r="M48" s="29"/>
      <c r="N48" s="30"/>
      <c r="O48" s="31"/>
      <c r="P48" s="36"/>
      <c r="Q48" s="31"/>
      <c r="R48" s="33"/>
      <c r="S48" s="31"/>
      <c r="T48" s="34"/>
      <c r="U48" s="25"/>
    </row>
    <row r="49" spans="1:21" ht="17.25">
      <c r="A49" s="29"/>
      <c r="B49" s="29"/>
      <c r="C49" s="30"/>
      <c r="D49" s="31"/>
      <c r="E49" s="36"/>
      <c r="F49" s="31"/>
      <c r="G49" s="33"/>
      <c r="H49" s="31"/>
      <c r="I49" s="34"/>
      <c r="J49" s="25"/>
      <c r="L49" s="29"/>
      <c r="M49" s="29"/>
      <c r="N49" s="30"/>
      <c r="O49" s="31"/>
      <c r="P49" s="36"/>
      <c r="Q49" s="31"/>
      <c r="R49" s="33"/>
      <c r="S49" s="31"/>
      <c r="T49" s="34"/>
      <c r="U49" s="25"/>
    </row>
    <row r="50" spans="1:21" ht="17.25">
      <c r="A50" s="29"/>
      <c r="B50" s="29"/>
      <c r="C50" s="30"/>
      <c r="D50" s="31"/>
      <c r="E50" s="36"/>
      <c r="F50" s="31"/>
      <c r="G50" s="33"/>
      <c r="H50" s="31"/>
      <c r="I50" s="34"/>
      <c r="J50" s="25"/>
      <c r="L50" s="29"/>
      <c r="M50" s="29"/>
      <c r="N50" s="30"/>
      <c r="O50" s="31"/>
      <c r="P50" s="36"/>
      <c r="Q50" s="31"/>
      <c r="R50" s="33"/>
      <c r="S50" s="31"/>
      <c r="T50" s="34"/>
      <c r="U50" s="25"/>
    </row>
    <row r="51" spans="1:21" ht="17.25">
      <c r="A51" s="29"/>
      <c r="B51" s="29"/>
      <c r="C51" s="30"/>
      <c r="D51" s="31"/>
      <c r="E51" s="32"/>
      <c r="F51" s="31"/>
      <c r="G51" s="33"/>
      <c r="H51" s="31"/>
      <c r="I51" s="34"/>
      <c r="J51" s="25"/>
      <c r="L51" s="29"/>
      <c r="M51" s="29"/>
      <c r="N51" s="30"/>
      <c r="O51" s="31"/>
      <c r="P51" s="32"/>
      <c r="Q51" s="31"/>
      <c r="R51" s="33"/>
      <c r="S51" s="31"/>
      <c r="T51" s="34"/>
      <c r="U51" s="25"/>
    </row>
    <row r="52" spans="1:21" ht="17.25">
      <c r="A52" s="1"/>
      <c r="B52" s="1"/>
      <c r="C52" s="1"/>
      <c r="D52" s="1"/>
      <c r="E52" s="1"/>
      <c r="F52" s="1"/>
      <c r="G52" s="1"/>
      <c r="H52" s="1"/>
      <c r="I52" s="1"/>
      <c r="J52" s="1"/>
      <c r="L52" s="1"/>
      <c r="M52" s="1"/>
      <c r="N52" s="1"/>
      <c r="O52" s="1"/>
      <c r="P52" s="1"/>
      <c r="Q52" s="1"/>
      <c r="R52" s="1"/>
      <c r="S52" s="1"/>
      <c r="T52" s="1"/>
      <c r="U52" s="1"/>
    </row>
    <row r="54" spans="1:12" ht="17.25">
      <c r="A54" s="37" t="s">
        <v>49</v>
      </c>
      <c r="L54" s="37" t="s">
        <v>46</v>
      </c>
    </row>
    <row r="55" spans="1:12" ht="17.25">
      <c r="A55" s="35" t="e">
        <f>IF('格付け'!J13=0,0,VLOOKUP(data2!B5,A5:J34,10,TRUE))</f>
        <v>#DIV/0!</v>
      </c>
      <c r="L55" s="35" t="e">
        <f>IF('格付け'!J13=0,0,VLOOKUP('格付け'!$J$18/100000,L5:U46,10,TRUE))</f>
        <v>#DIV/0!</v>
      </c>
    </row>
    <row r="57" ht="17.25">
      <c r="L57" s="38" t="s">
        <v>39</v>
      </c>
    </row>
    <row r="58" ht="17.25">
      <c r="L58" s="35" t="e">
        <f>IF('格付け'!J13=0,0,INT((+A55*0.8)+(L55*0.2)))</f>
        <v>#DIV/0!</v>
      </c>
    </row>
  </sheetData>
  <sheetProtection sheet="1"/>
  <mergeCells count="6">
    <mergeCell ref="A3:B3"/>
    <mergeCell ref="C3:I3"/>
    <mergeCell ref="L3:M3"/>
    <mergeCell ref="N3:T3"/>
    <mergeCell ref="C4:I4"/>
    <mergeCell ref="N4:T4"/>
  </mergeCells>
  <printOptions/>
  <pageMargins left="0.787" right="0.787" top="0.984" bottom="0.984" header="0.512" footer="0.512"/>
  <pageSetup horizontalDpi="600" verticalDpi="600" orientation="portrait" paperSize="9" scale="75" r:id="rId1"/>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D8"/>
  <sheetViews>
    <sheetView zoomScalePageLayoutView="0" workbookViewId="0" topLeftCell="A1">
      <selection activeCell="B2" sqref="B2"/>
    </sheetView>
  </sheetViews>
  <sheetFormatPr defaultColWidth="8.66015625" defaultRowHeight="18"/>
  <cols>
    <col min="1" max="2" width="9" style="41" customWidth="1"/>
    <col min="3" max="3" width="11.75" style="41" bestFit="1" customWidth="1"/>
    <col min="4" max="16384" width="9" style="41" customWidth="1"/>
  </cols>
  <sheetData>
    <row r="1" spans="1:4" ht="13.5">
      <c r="A1" s="40" t="s">
        <v>50</v>
      </c>
      <c r="B1" s="40" t="e">
        <f>+'格付け'!J32</f>
        <v>#DIV/0!</v>
      </c>
      <c r="D1" s="42" t="s">
        <v>51</v>
      </c>
    </row>
    <row r="2" spans="1:4" ht="13.5">
      <c r="A2" s="40" t="s">
        <v>52</v>
      </c>
      <c r="B2" s="40">
        <f>+'格付け'!J39</f>
        <v>0</v>
      </c>
      <c r="D2" s="43">
        <v>-0.045</v>
      </c>
    </row>
    <row r="3" spans="1:4" ht="13.5">
      <c r="A3" s="40" t="s">
        <v>53</v>
      </c>
      <c r="B3" s="40">
        <f>B2-65</f>
        <v>-65</v>
      </c>
      <c r="D3" s="43">
        <v>-0.03</v>
      </c>
    </row>
    <row r="4" spans="1:4" ht="13.5">
      <c r="A4" s="40" t="s">
        <v>54</v>
      </c>
      <c r="B4" s="43">
        <f>IF(B3&gt;=15,D8,IF(B3&gt;=10,D7,IF(B3&gt;=5,D6,IF(B3&gt;-5,D5,IF(B3&gt;-10,D4,IF(B3&gt;-15,D3,D2))))))</f>
        <v>-0.045</v>
      </c>
      <c r="D4" s="43">
        <v>-0.015</v>
      </c>
    </row>
    <row r="5" spans="1:4" ht="13.5">
      <c r="A5" s="40" t="s">
        <v>55</v>
      </c>
      <c r="B5" s="40">
        <f>IF(B2=0,0,(ROUND(B1*B4,0)))</f>
        <v>0</v>
      </c>
      <c r="D5" s="43">
        <v>0</v>
      </c>
    </row>
    <row r="6" ht="13.5">
      <c r="D6" s="43">
        <v>0.015</v>
      </c>
    </row>
    <row r="7" ht="13.5">
      <c r="D7" s="43">
        <v>0.03</v>
      </c>
    </row>
    <row r="8" ht="13.5">
      <c r="D8" s="43">
        <v>0.045</v>
      </c>
    </row>
  </sheetData>
  <sheetProtection sheet="1"/>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経常JV格付試算シート</dc:title>
  <dc:subject/>
  <dc:creator>札幌市財政局管財部契約管理課</dc:creator>
  <cp:keywords/>
  <dc:description/>
  <cp:lastModifiedBy>202.古川　淳一</cp:lastModifiedBy>
  <cp:lastPrinted>2019-04-10T07:54:51Z</cp:lastPrinted>
  <dcterms:created xsi:type="dcterms:W3CDTF">1998-12-22T02:43:15Z</dcterms:created>
  <dcterms:modified xsi:type="dcterms:W3CDTF">2023-04-05T04:05:15Z</dcterms:modified>
  <cp:category/>
  <cp:version/>
  <cp:contentType/>
  <cp:contentStatus/>
</cp:coreProperties>
</file>