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20" activeTab="1"/>
  </bookViews>
  <sheets>
    <sheet name="Sheet1" sheetId="1" r:id="rId1"/>
    <sheet name="改" sheetId="2" r:id="rId2"/>
  </sheets>
  <definedNames>
    <definedName name="_xlnm.Print_Titles" localSheetId="0">Sheet1!$2:$2</definedName>
    <definedName name="_xlnm.Print_Titles" localSheetId="1">改!$2:$2</definedName>
  </definedNames>
  <calcPr calcId="152511"/>
</workbook>
</file>

<file path=xl/calcChain.xml><?xml version="1.0" encoding="utf-8"?>
<calcChain xmlns="http://schemas.openxmlformats.org/spreadsheetml/2006/main">
  <c r="C45" i="2" l="1"/>
  <c r="B35" i="2"/>
  <c r="D51" i="2"/>
  <c r="D45" i="2"/>
  <c r="D33" i="2"/>
  <c r="D32" i="2"/>
  <c r="D31" i="2"/>
  <c r="D28" i="2"/>
  <c r="D24" i="2"/>
  <c r="D23" i="2"/>
  <c r="D22" i="2"/>
  <c r="D21" i="2"/>
  <c r="D20" i="2"/>
  <c r="D19" i="2"/>
  <c r="D18" i="2"/>
  <c r="D17" i="2"/>
  <c r="D16" i="2"/>
  <c r="E27" i="2"/>
  <c r="D27" i="2"/>
  <c r="A37" i="2"/>
  <c r="A36" i="2"/>
  <c r="E3" i="2"/>
  <c r="D38" i="2" l="1"/>
  <c r="E38" i="2"/>
  <c r="E53" i="2"/>
  <c r="D53" i="2"/>
  <c r="C53" i="2"/>
  <c r="B53" i="2"/>
  <c r="A53" i="2"/>
  <c r="E52" i="2"/>
  <c r="D52" i="2"/>
  <c r="C52" i="2"/>
  <c r="B52" i="2"/>
  <c r="A52" i="2"/>
  <c r="E51" i="2"/>
  <c r="C51" i="2"/>
  <c r="B51" i="2"/>
  <c r="A51" i="2"/>
  <c r="E50" i="2"/>
  <c r="D50" i="2"/>
  <c r="C50" i="2"/>
  <c r="B50" i="2"/>
  <c r="A50" i="2"/>
  <c r="E49" i="2"/>
  <c r="D49" i="2"/>
  <c r="C49" i="2"/>
  <c r="B49" i="2"/>
  <c r="A49" i="2"/>
  <c r="E48" i="2"/>
  <c r="D48" i="2"/>
  <c r="C48" i="2"/>
  <c r="B48" i="2"/>
  <c r="A48" i="2"/>
  <c r="E47" i="2"/>
  <c r="D47" i="2"/>
  <c r="C47" i="2"/>
  <c r="B47" i="2"/>
  <c r="A47" i="2"/>
  <c r="E46" i="2"/>
  <c r="D46" i="2"/>
  <c r="C46" i="2"/>
  <c r="B46" i="2"/>
  <c r="A46" i="2"/>
  <c r="E45" i="2"/>
  <c r="B45" i="2"/>
  <c r="A45" i="2"/>
  <c r="E44" i="2"/>
  <c r="D44" i="2"/>
  <c r="C44" i="2"/>
  <c r="B44" i="2"/>
  <c r="A44" i="2"/>
  <c r="E43" i="2"/>
  <c r="D43" i="2"/>
  <c r="C43" i="2"/>
  <c r="B43" i="2"/>
  <c r="A43" i="2"/>
  <c r="E42" i="2"/>
  <c r="D42" i="2"/>
  <c r="C42" i="2"/>
  <c r="B42" i="2"/>
  <c r="A42" i="2"/>
  <c r="E41" i="2"/>
  <c r="D41" i="2"/>
  <c r="C41" i="2"/>
  <c r="B41" i="2"/>
  <c r="A41" i="2"/>
  <c r="E40" i="2"/>
  <c r="D40" i="2"/>
  <c r="C40" i="2"/>
  <c r="B40" i="2"/>
  <c r="A40" i="2"/>
  <c r="E39" i="2"/>
  <c r="D39" i="2"/>
  <c r="C39" i="2"/>
  <c r="B39" i="2"/>
  <c r="A39" i="2"/>
  <c r="E37" i="2"/>
  <c r="D37" i="2"/>
  <c r="C37" i="2"/>
  <c r="B37" i="2"/>
  <c r="E36" i="2"/>
  <c r="D36" i="2"/>
  <c r="C36" i="2"/>
  <c r="B36" i="2"/>
  <c r="E35" i="2"/>
  <c r="D35" i="2"/>
  <c r="C35" i="2"/>
  <c r="A35" i="2"/>
  <c r="E34" i="2"/>
  <c r="D34" i="2"/>
  <c r="C34" i="2"/>
  <c r="B34" i="2"/>
  <c r="A34" i="2"/>
  <c r="E33" i="2"/>
  <c r="C33" i="2"/>
  <c r="B33" i="2"/>
  <c r="A33" i="2"/>
  <c r="E32" i="2"/>
  <c r="C32" i="2"/>
  <c r="B32" i="2"/>
  <c r="A32" i="2"/>
  <c r="E31" i="2"/>
  <c r="C31" i="2"/>
  <c r="B31" i="2"/>
  <c r="A31" i="2"/>
  <c r="E30" i="2"/>
  <c r="D30" i="2"/>
  <c r="C30" i="2"/>
  <c r="B30" i="2"/>
  <c r="A30" i="2"/>
  <c r="E29" i="2"/>
  <c r="D29" i="2"/>
  <c r="C29" i="2"/>
  <c r="B29" i="2"/>
  <c r="A29" i="2"/>
  <c r="E28" i="2"/>
  <c r="C28" i="2"/>
  <c r="B28" i="2"/>
  <c r="A28" i="2"/>
  <c r="E26" i="2"/>
  <c r="D26" i="2"/>
  <c r="C26" i="2"/>
  <c r="B26" i="2"/>
  <c r="A26" i="2"/>
  <c r="E25" i="2"/>
  <c r="D25" i="2"/>
  <c r="C25" i="2"/>
  <c r="B25" i="2"/>
  <c r="A25" i="2"/>
  <c r="E24" i="2"/>
  <c r="C24" i="2"/>
  <c r="B24" i="2"/>
  <c r="A24" i="2"/>
  <c r="E23" i="2"/>
  <c r="C23" i="2"/>
  <c r="B23" i="2"/>
  <c r="A23" i="2"/>
  <c r="E22" i="2"/>
  <c r="C22" i="2"/>
  <c r="B22" i="2"/>
  <c r="A22" i="2"/>
  <c r="E21" i="2"/>
  <c r="C21" i="2"/>
  <c r="B21" i="2"/>
  <c r="A21" i="2"/>
  <c r="E20" i="2"/>
  <c r="C20" i="2"/>
  <c r="B20" i="2"/>
  <c r="A20" i="2"/>
  <c r="E19" i="2"/>
  <c r="C19" i="2"/>
  <c r="B19" i="2"/>
  <c r="A19" i="2"/>
  <c r="E18" i="2"/>
  <c r="C18" i="2"/>
  <c r="B18" i="2"/>
  <c r="A18" i="2"/>
  <c r="E17" i="2"/>
  <c r="C17" i="2"/>
  <c r="B17" i="2"/>
  <c r="A17" i="2"/>
  <c r="E16" i="2"/>
  <c r="C16" i="2"/>
  <c r="B16" i="2"/>
  <c r="A16" i="2"/>
  <c r="E15" i="2"/>
  <c r="D15" i="2"/>
  <c r="C15" i="2"/>
  <c r="B15" i="2"/>
  <c r="A15" i="2"/>
  <c r="E14" i="2"/>
  <c r="D14" i="2"/>
  <c r="C14" i="2"/>
  <c r="B14" i="2"/>
  <c r="A14" i="2"/>
  <c r="E13" i="2"/>
  <c r="D13" i="2"/>
  <c r="C13" i="2"/>
  <c r="B13" i="2"/>
  <c r="A13" i="2"/>
  <c r="E12" i="2"/>
  <c r="D12" i="2"/>
  <c r="C12" i="2"/>
  <c r="B12" i="2"/>
  <c r="A12" i="2"/>
  <c r="E11" i="2"/>
  <c r="D11" i="2"/>
  <c r="C11" i="2"/>
  <c r="B11" i="2"/>
  <c r="A11" i="2"/>
  <c r="E10" i="2"/>
  <c r="D10" i="2"/>
  <c r="C10" i="2"/>
  <c r="B10" i="2"/>
  <c r="A10" i="2"/>
  <c r="E9" i="2"/>
  <c r="D9" i="2"/>
  <c r="C9" i="2"/>
  <c r="B9" i="2"/>
  <c r="A9" i="2"/>
  <c r="E8" i="2"/>
  <c r="D8" i="2"/>
  <c r="C8" i="2"/>
  <c r="B8" i="2"/>
  <c r="A8" i="2"/>
  <c r="E7" i="2"/>
  <c r="D7" i="2"/>
  <c r="C7" i="2"/>
  <c r="B7" i="2"/>
  <c r="A7" i="2"/>
  <c r="E6" i="2"/>
  <c r="D6" i="2"/>
  <c r="C6" i="2"/>
  <c r="B6" i="2"/>
  <c r="A6" i="2"/>
  <c r="E5" i="2"/>
  <c r="D5" i="2"/>
  <c r="C5" i="2"/>
  <c r="B5" i="2"/>
  <c r="A5" i="2"/>
  <c r="E4" i="2"/>
  <c r="D4" i="2"/>
  <c r="C4" i="2"/>
  <c r="B4" i="2"/>
  <c r="A4" i="2"/>
  <c r="D3" i="2"/>
  <c r="C3" i="2"/>
  <c r="B3" i="2"/>
  <c r="A3" i="2"/>
  <c r="F2" i="2"/>
  <c r="E2" i="2"/>
  <c r="D2" i="2"/>
  <c r="C2" i="2"/>
  <c r="B2" i="2"/>
  <c r="A2" i="2"/>
  <c r="E48" i="1" l="1"/>
  <c r="E47" i="1"/>
  <c r="E46" i="1"/>
  <c r="E45" i="1"/>
  <c r="E44" i="1"/>
  <c r="E43" i="1"/>
  <c r="E40" i="1"/>
  <c r="E42" i="1"/>
  <c r="E41" i="1"/>
  <c r="E51" i="1"/>
  <c r="E39" i="1"/>
  <c r="E38" i="1"/>
  <c r="E37" i="1"/>
  <c r="E35" i="1"/>
  <c r="E36" i="1"/>
  <c r="E34" i="1"/>
  <c r="E33" i="1"/>
  <c r="E31" i="1"/>
  <c r="E32" i="1"/>
  <c r="E30" i="1"/>
  <c r="E50" i="1"/>
  <c r="E29" i="1"/>
  <c r="E28" i="1"/>
  <c r="E27" i="1"/>
  <c r="E25" i="1"/>
  <c r="E26" i="1"/>
  <c r="E3" i="1"/>
  <c r="E24" i="1"/>
  <c r="E17" i="1"/>
  <c r="E23" i="1"/>
  <c r="E22" i="1"/>
  <c r="E21" i="1"/>
  <c r="E19" i="1"/>
  <c r="E18" i="1"/>
  <c r="E20" i="1"/>
  <c r="E16" i="1"/>
  <c r="E5" i="1"/>
  <c r="E10" i="1"/>
  <c r="E9" i="1"/>
  <c r="E8" i="1"/>
  <c r="E7" i="1"/>
  <c r="E12" i="1"/>
  <c r="E13" i="1"/>
  <c r="E14" i="1"/>
  <c r="E15" i="1"/>
  <c r="E4" i="1"/>
  <c r="E6" i="1"/>
  <c r="E11" i="1"/>
  <c r="E49" i="1"/>
  <c r="D47" i="1"/>
  <c r="D46" i="1"/>
  <c r="D45" i="1"/>
  <c r="D44" i="1"/>
  <c r="D43" i="1"/>
  <c r="D40" i="1"/>
  <c r="D42" i="1"/>
  <c r="D41" i="1"/>
  <c r="D51" i="1"/>
  <c r="D39" i="1"/>
  <c r="D38" i="1"/>
  <c r="D37" i="1"/>
  <c r="D35" i="1"/>
  <c r="D36" i="1"/>
  <c r="D34" i="1"/>
  <c r="D33" i="1"/>
  <c r="D31" i="1"/>
  <c r="D32" i="1"/>
  <c r="D30" i="1"/>
  <c r="D50" i="1"/>
  <c r="D29" i="1"/>
  <c r="D28" i="1"/>
  <c r="D27" i="1"/>
  <c r="D25" i="1"/>
  <c r="D26" i="1"/>
  <c r="D3" i="1"/>
  <c r="D24" i="1"/>
  <c r="D17" i="1"/>
  <c r="D23" i="1"/>
  <c r="D22" i="1"/>
  <c r="D21" i="1"/>
  <c r="D19" i="1"/>
  <c r="D18" i="1"/>
  <c r="D20" i="1"/>
  <c r="D16" i="1"/>
  <c r="D5" i="1"/>
  <c r="D10" i="1"/>
  <c r="D9" i="1"/>
  <c r="D8" i="1"/>
  <c r="D7" i="1"/>
  <c r="D12" i="1"/>
  <c r="D13" i="1"/>
  <c r="D14" i="1"/>
  <c r="D15" i="1"/>
  <c r="D4" i="1"/>
  <c r="D6" i="1"/>
  <c r="D11" i="1"/>
  <c r="D49" i="1"/>
  <c r="D48" i="1"/>
  <c r="C47" i="1"/>
  <c r="C46" i="1"/>
  <c r="C45" i="1"/>
  <c r="C44" i="1"/>
  <c r="C43" i="1"/>
  <c r="C40" i="1"/>
  <c r="C42" i="1"/>
  <c r="C41" i="1"/>
  <c r="C51" i="1"/>
  <c r="C39" i="1"/>
  <c r="C38" i="1"/>
  <c r="C37" i="1"/>
  <c r="C35" i="1"/>
  <c r="C36" i="1"/>
  <c r="C34" i="1"/>
  <c r="C33" i="1"/>
  <c r="C31" i="1"/>
  <c r="C32" i="1"/>
  <c r="C30" i="1"/>
  <c r="C50" i="1"/>
  <c r="C29" i="1"/>
  <c r="C28" i="1"/>
  <c r="C27" i="1"/>
  <c r="C25" i="1"/>
  <c r="C26" i="1"/>
  <c r="C3" i="1"/>
  <c r="C24" i="1"/>
  <c r="C17" i="1"/>
  <c r="C23" i="1"/>
  <c r="C22" i="1"/>
  <c r="C21" i="1"/>
  <c r="C19" i="1"/>
  <c r="C18" i="1"/>
  <c r="C20" i="1"/>
  <c r="C16" i="1"/>
  <c r="C5" i="1"/>
  <c r="C10" i="1"/>
  <c r="C9" i="1"/>
  <c r="C8" i="1"/>
  <c r="C7" i="1"/>
  <c r="C12" i="1"/>
  <c r="C13" i="1"/>
  <c r="C14" i="1"/>
  <c r="C15" i="1"/>
  <c r="C4" i="1"/>
  <c r="C6" i="1"/>
  <c r="C11" i="1"/>
  <c r="C49" i="1"/>
  <c r="C48" i="1"/>
  <c r="B47" i="1"/>
  <c r="B46" i="1"/>
  <c r="B45" i="1"/>
  <c r="B44" i="1"/>
  <c r="B43" i="1"/>
  <c r="B40" i="1"/>
  <c r="B42" i="1"/>
  <c r="B41" i="1"/>
  <c r="B51" i="1"/>
  <c r="B39" i="1"/>
  <c r="B38" i="1"/>
  <c r="B37" i="1"/>
  <c r="B35" i="1"/>
  <c r="B36" i="1"/>
  <c r="B34" i="1"/>
  <c r="B33" i="1"/>
  <c r="B31" i="1"/>
  <c r="B32" i="1"/>
  <c r="B30" i="1"/>
  <c r="B50" i="1"/>
  <c r="B29" i="1"/>
  <c r="B28" i="1"/>
  <c r="B27" i="1"/>
  <c r="B25" i="1"/>
  <c r="B26" i="1"/>
  <c r="B3" i="1"/>
  <c r="B24" i="1"/>
  <c r="B17" i="1"/>
  <c r="B23" i="1"/>
  <c r="B22" i="1"/>
  <c r="B21" i="1"/>
  <c r="B19" i="1"/>
  <c r="B18" i="1"/>
  <c r="B20" i="1"/>
  <c r="B16" i="1"/>
  <c r="B5" i="1"/>
  <c r="B10" i="1"/>
  <c r="B9" i="1"/>
  <c r="B8" i="1"/>
  <c r="B7" i="1"/>
  <c r="B12" i="1"/>
  <c r="B13" i="1"/>
  <c r="B14" i="1"/>
  <c r="B15" i="1"/>
  <c r="B4" i="1"/>
  <c r="B6" i="1"/>
  <c r="B11" i="1"/>
  <c r="B49" i="1"/>
  <c r="B48" i="1"/>
  <c r="A24" i="1"/>
  <c r="A17" i="1"/>
  <c r="A23" i="1"/>
  <c r="A22" i="1"/>
  <c r="A21" i="1"/>
  <c r="A19" i="1"/>
  <c r="A18" i="1"/>
  <c r="A20" i="1"/>
  <c r="A16" i="1"/>
  <c r="A5" i="1"/>
  <c r="A10" i="1"/>
  <c r="A9" i="1"/>
  <c r="A8" i="1"/>
  <c r="A7" i="1"/>
  <c r="A12" i="1"/>
  <c r="A13" i="1"/>
  <c r="A14" i="1"/>
  <c r="A15" i="1"/>
  <c r="A4" i="1"/>
  <c r="A6" i="1"/>
  <c r="A11" i="1"/>
  <c r="A47" i="1"/>
  <c r="A46" i="1"/>
  <c r="A45" i="1"/>
  <c r="A44" i="1"/>
  <c r="A43" i="1"/>
  <c r="A40" i="1"/>
  <c r="A42" i="1"/>
  <c r="A41" i="1"/>
  <c r="A51" i="1"/>
  <c r="A39" i="1"/>
  <c r="A38" i="1"/>
  <c r="A37" i="1"/>
  <c r="A35" i="1"/>
  <c r="A36" i="1"/>
  <c r="A34" i="1"/>
  <c r="A33" i="1"/>
  <c r="A31" i="1"/>
  <c r="A32" i="1"/>
  <c r="A30" i="1"/>
  <c r="A50" i="1"/>
  <c r="A29" i="1"/>
  <c r="A28" i="1"/>
  <c r="A27" i="1"/>
  <c r="A25" i="1"/>
  <c r="A26" i="1"/>
  <c r="A3" i="1"/>
  <c r="A49" i="1"/>
  <c r="A48" i="1"/>
  <c r="F2" i="1" l="1"/>
  <c r="E2" i="1"/>
  <c r="D2" i="1"/>
  <c r="C2" i="1"/>
  <c r="B2" i="1"/>
  <c r="A2" i="1"/>
</calcChain>
</file>

<file path=xl/sharedStrings.xml><?xml version="1.0" encoding="utf-8"?>
<sst xmlns="http://schemas.openxmlformats.org/spreadsheetml/2006/main" count="110" uniqueCount="41">
  <si>
    <t>&lt;展示リスト&gt;　図書館でみる本～大きな本・小さな本</t>
    <rPh sb="8" eb="11">
      <t>トショカン</t>
    </rPh>
    <rPh sb="14" eb="15">
      <t>ホン</t>
    </rPh>
    <rPh sb="16" eb="17">
      <t>オオ</t>
    </rPh>
    <rPh sb="19" eb="20">
      <t>ホン</t>
    </rPh>
    <rPh sb="21" eb="22">
      <t>チイ</t>
    </rPh>
    <rPh sb="24" eb="25">
      <t>ホン</t>
    </rPh>
    <phoneticPr fontId="7"/>
  </si>
  <si>
    <t>　展示期間:令和元年11月14日(木)～12月10日(火)</t>
    <rPh sb="6" eb="8">
      <t>レイワ</t>
    </rPh>
    <rPh sb="8" eb="9">
      <t>ガン</t>
    </rPh>
    <rPh sb="15" eb="16">
      <t>ニチ</t>
    </rPh>
    <rPh sb="17" eb="18">
      <t>モク</t>
    </rPh>
    <rPh sb="27" eb="28">
      <t>カ</t>
    </rPh>
    <phoneticPr fontId="7"/>
  </si>
  <si>
    <t>KR081.2/ｴ/</t>
    <phoneticPr fontId="6"/>
  </si>
  <si>
    <t>KR081.2/ｴ/</t>
    <phoneticPr fontId="6"/>
  </si>
  <si>
    <t>KR081.2/ﾌﾟ/15</t>
    <phoneticPr fontId="6"/>
  </si>
  <si>
    <t>KR081.2/ﾖ/</t>
    <phoneticPr fontId="6"/>
  </si>
  <si>
    <t>KR081.2/ﾘ/</t>
    <phoneticPr fontId="6"/>
  </si>
  <si>
    <t>KR396.2/ﾀ/</t>
    <phoneticPr fontId="6"/>
  </si>
  <si>
    <t>KR748/ﾜ/</t>
    <phoneticPr fontId="6"/>
  </si>
  <si>
    <t>KR764.3/SA68/</t>
    <phoneticPr fontId="6"/>
  </si>
  <si>
    <t>R070.2/ｺﾞ/</t>
    <phoneticPr fontId="6"/>
  </si>
  <si>
    <t>KR521.8/ﾎ/</t>
    <phoneticPr fontId="6"/>
  </si>
  <si>
    <t>KR376.4/ｻ/</t>
    <phoneticPr fontId="6"/>
  </si>
  <si>
    <t>KR377.9/ｹ/2</t>
    <phoneticPr fontId="6"/>
  </si>
  <si>
    <t>KR710.8/ｲ/</t>
    <phoneticPr fontId="6"/>
  </si>
  <si>
    <t>KR377.9/ｹ/1-1</t>
    <phoneticPr fontId="6"/>
  </si>
  <si>
    <t>KR748/ｸ/</t>
    <phoneticPr fontId="6"/>
  </si>
  <si>
    <t>KR720.8/ｷ/</t>
    <phoneticPr fontId="6"/>
  </si>
  <si>
    <t>KR211.51/ｻ/</t>
    <phoneticPr fontId="6"/>
  </si>
  <si>
    <t>KR211.51/ﾒ/</t>
    <phoneticPr fontId="6"/>
  </si>
  <si>
    <t>K211.51/ｻ/</t>
    <phoneticPr fontId="6"/>
  </si>
  <si>
    <t>Y748/S/</t>
    <phoneticPr fontId="6"/>
  </si>
  <si>
    <t>KR748/ﾓ/</t>
    <phoneticPr fontId="6"/>
  </si>
  <si>
    <t>KR778.7/ｽ/</t>
    <phoneticPr fontId="6"/>
  </si>
  <si>
    <t>R071/ﾆ/1</t>
    <phoneticPr fontId="6"/>
  </si>
  <si>
    <t>KR291/ｼ/1</t>
    <phoneticPr fontId="6"/>
  </si>
  <si>
    <t>KR291/ｼ/2</t>
    <phoneticPr fontId="6"/>
  </si>
  <si>
    <t>KR748/ｼ/</t>
    <phoneticPr fontId="6"/>
  </si>
  <si>
    <t>KR748/ｲ/</t>
    <phoneticPr fontId="6"/>
  </si>
  <si>
    <t>KR517.4/ｲ/</t>
    <phoneticPr fontId="6"/>
  </si>
  <si>
    <t>Y295.3/N/</t>
    <phoneticPr fontId="6"/>
  </si>
  <si>
    <t>KR685.2/ｻ/</t>
    <phoneticPr fontId="6"/>
  </si>
  <si>
    <t>KR788.7/ｼ/</t>
    <phoneticPr fontId="6"/>
  </si>
  <si>
    <t>コーヒー物語</t>
    <phoneticPr fontId="6"/>
  </si>
  <si>
    <t>和田　義雄／著</t>
    <phoneticPr fontId="6"/>
  </si>
  <si>
    <t>ぷやら新書刊行会</t>
    <phoneticPr fontId="6"/>
  </si>
  <si>
    <t>KR596.7/ﾜ/</t>
    <phoneticPr fontId="6"/>
  </si>
  <si>
    <t>札幌 昭和ノスタルジー　我が青春の街角へ</t>
    <phoneticPr fontId="6"/>
  </si>
  <si>
    <t>ぶらんとマガジン社／編著</t>
    <phoneticPr fontId="6"/>
  </si>
  <si>
    <t>ぶらんとマガジン社</t>
    <phoneticPr fontId="6"/>
  </si>
  <si>
    <t>KR211.51/ブ/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</si>
</sst>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1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6">
    <xf numFmtId="0" fontId="0" fillId="0" borderId="0" xfId="0"/>
    <xf numFmtId="0" fontId="8" fillId="0" borderId="0" xfId="0" applyFont="1" applyAlignment="1">
      <alignment vertical="center"/>
    </xf>
    <xf numFmtId="176" fontId="0" fillId="0" borderId="0" xfId="0" applyNumberFormat="1"/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shrinkToFit="1"/>
    </xf>
    <xf numFmtId="0" fontId="1" fillId="0" borderId="2" xfId="1" applyFont="1" applyBorder="1" applyAlignment="1">
      <alignment vertical="center"/>
    </xf>
    <xf numFmtId="0" fontId="0" fillId="0" borderId="2" xfId="0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C6" sqref="C6"/>
    </sheetView>
  </sheetViews>
  <sheetFormatPr defaultRowHeight="13.5"/>
  <cols>
    <col min="1" max="1" width="44.875" customWidth="1"/>
    <col min="2" max="2" width="25.5" bestFit="1" customWidth="1"/>
    <col min="3" max="3" width="22.375" bestFit="1" customWidth="1"/>
    <col min="5" max="5" width="11.625" style="2" bestFit="1" customWidth="1"/>
    <col min="6" max="6" width="14.125" customWidth="1"/>
  </cols>
  <sheetData>
    <row r="1" spans="1:6" s="1" customFormat="1" ht="47.25" customHeight="1">
      <c r="A1" s="11" t="s">
        <v>0</v>
      </c>
      <c r="B1" s="12"/>
      <c r="C1" s="12"/>
      <c r="D1" s="13" t="s">
        <v>1</v>
      </c>
      <c r="E1" s="13"/>
      <c r="F1" s="13"/>
    </row>
    <row r="2" spans="1:6" s="5" customFormat="1" ht="15" customHeight="1">
      <c r="A2" s="3" t="str">
        <f>"書名"</f>
        <v>書名</v>
      </c>
      <c r="B2" s="3" t="str">
        <f>"著者名"</f>
        <v>著者名</v>
      </c>
      <c r="C2" s="3" t="str">
        <f>"出版社"</f>
        <v>出版社</v>
      </c>
      <c r="D2" s="3" t="str">
        <f>"出版年"</f>
        <v>出版年</v>
      </c>
      <c r="E2" s="4" t="str">
        <f>"資料番号"</f>
        <v>資料番号</v>
      </c>
      <c r="F2" s="3" t="str">
        <f>"請求記号"</f>
        <v>請求記号</v>
      </c>
    </row>
    <row r="3" spans="1:6" s="6" customFormat="1" ht="24.75" customHeight="1">
      <c r="A3" s="8" t="str">
        <f>"札幌"</f>
        <v>札幌</v>
      </c>
      <c r="B3" s="8" t="str">
        <f>"関 秀志／編著"</f>
        <v>関 秀志／編著</v>
      </c>
      <c r="C3" s="8" t="str">
        <f>"国書刊行会"</f>
        <v>国書刊行会</v>
      </c>
      <c r="D3" s="8" t="str">
        <f>"1979.9"</f>
        <v>1979.9</v>
      </c>
      <c r="E3" s="8" t="str">
        <f>"0117422808"</f>
        <v>0117422808</v>
      </c>
      <c r="F3" s="7" t="s">
        <v>20</v>
      </c>
    </row>
    <row r="4" spans="1:6" s="6" customFormat="1" ht="24.75" customHeight="1">
      <c r="A4" s="8" t="str">
        <f>"赤レンガ"</f>
        <v>赤レンガ</v>
      </c>
      <c r="B4" s="8" t="str">
        <f>"遠藤　明久／著"</f>
        <v>遠藤　明久／著</v>
      </c>
      <c r="C4" s="8" t="str">
        <f>"北海道テレビ社長室"</f>
        <v>北海道テレビ社長室</v>
      </c>
      <c r="D4" s="8" t="str">
        <f>"1970.9"</f>
        <v>1970.9</v>
      </c>
      <c r="E4" s="8" t="str">
        <f>"0114772734"</f>
        <v>0114772734</v>
      </c>
      <c r="F4" s="7" t="s">
        <v>2</v>
      </c>
    </row>
    <row r="5" spans="1:6" s="6" customFormat="1" ht="24.75" customHeight="1">
      <c r="A5" s="8" t="str">
        <f>"ひらぎし物語"</f>
        <v>ひらぎし物語</v>
      </c>
      <c r="B5" s="8" t="str">
        <f>"工藤　欣弥／著"</f>
        <v>工藤　欣弥／著</v>
      </c>
      <c r="C5" s="8" t="str">
        <f>"北海道テレビ社長室"</f>
        <v>北海道テレビ社長室</v>
      </c>
      <c r="D5" s="8" t="str">
        <f>"1970"</f>
        <v>1970</v>
      </c>
      <c r="E5" s="8" t="str">
        <f>"0114772759"</f>
        <v>0114772759</v>
      </c>
      <c r="F5" s="7" t="s">
        <v>2</v>
      </c>
    </row>
    <row r="6" spans="1:6" s="6" customFormat="1" ht="24.75" customHeight="1">
      <c r="A6" s="8" t="str">
        <f>"定山溪鉄道"</f>
        <v>定山溪鉄道</v>
      </c>
      <c r="B6" s="8" t="str">
        <f>"桐原 酉次／著"</f>
        <v>桐原 酉次／著</v>
      </c>
      <c r="C6" s="8" t="str">
        <f>"北海道テレビ社長室"</f>
        <v>北海道テレビ社長室</v>
      </c>
      <c r="D6" s="8" t="str">
        <f>"1970.10"</f>
        <v>1970.10</v>
      </c>
      <c r="E6" s="8" t="str">
        <f>"0114772882"</f>
        <v>0114772882</v>
      </c>
      <c r="F6" s="7" t="s">
        <v>2</v>
      </c>
    </row>
    <row r="7" spans="1:6" s="6" customFormat="1" ht="24.75" customHeight="1">
      <c r="A7" s="8" t="str">
        <f>"豊平館"</f>
        <v>豊平館</v>
      </c>
      <c r="B7" s="8" t="str">
        <f>"遠藤　明久／著"</f>
        <v>遠藤　明久／著</v>
      </c>
      <c r="C7" s="8" t="str">
        <f>"北海道テレビ放送"</f>
        <v>北海道テレビ放送</v>
      </c>
      <c r="D7" s="8" t="str">
        <f>"1976.1"</f>
        <v>1976.1</v>
      </c>
      <c r="E7" s="8" t="str">
        <f>"0114772916"</f>
        <v>0114772916</v>
      </c>
      <c r="F7" s="7" t="s">
        <v>2</v>
      </c>
    </row>
    <row r="8" spans="1:6" s="6" customFormat="1" ht="24.75" customHeight="1">
      <c r="A8" s="8" t="str">
        <f>"札幌のチンチン電車"</f>
        <v>札幌のチンチン電車</v>
      </c>
      <c r="B8" s="8" t="str">
        <f>"長南 千代吉／著"</f>
        <v>長南 千代吉／著</v>
      </c>
      <c r="C8" s="8" t="str">
        <f>"北海道テレビ放送"</f>
        <v>北海道テレビ放送</v>
      </c>
      <c r="D8" s="8" t="str">
        <f>"1974.6"</f>
        <v>1974.6</v>
      </c>
      <c r="E8" s="8" t="str">
        <f>"0114772940"</f>
        <v>0114772940</v>
      </c>
      <c r="F8" s="7" t="s">
        <v>2</v>
      </c>
    </row>
    <row r="9" spans="1:6" s="6" customFormat="1" ht="24.75" customHeight="1">
      <c r="A9" s="8" t="str">
        <f>"狸小路"</f>
        <v>狸小路</v>
      </c>
      <c r="B9" s="8" t="str">
        <f>"金田一 昌三／著"</f>
        <v>金田一 昌三／著</v>
      </c>
      <c r="C9" s="8" t="str">
        <f>"北海道テレビ企画局"</f>
        <v>北海道テレビ企画局</v>
      </c>
      <c r="D9" s="8" t="str">
        <f>"1973.9"</f>
        <v>1973.9</v>
      </c>
      <c r="E9" s="8" t="str">
        <f>"0114772965"</f>
        <v>0114772965</v>
      </c>
      <c r="F9" s="7" t="s">
        <v>2</v>
      </c>
    </row>
    <row r="10" spans="1:6" s="6" customFormat="1" ht="24.75" customHeight="1">
      <c r="A10" s="8" t="str">
        <f>"北海道のわらべうた"</f>
        <v>北海道のわらべうた</v>
      </c>
      <c r="B10" s="8" t="str">
        <f>"樋口　忠次郎／著"</f>
        <v>樋口　忠次郎／著</v>
      </c>
      <c r="C10" s="8" t="str">
        <f>"北海道テレビ企画局"</f>
        <v>北海道テレビ企画局</v>
      </c>
      <c r="D10" s="8" t="str">
        <f>"1973.8"</f>
        <v>1973.8</v>
      </c>
      <c r="E10" s="8" t="str">
        <f>"0114772973"</f>
        <v>0114772973</v>
      </c>
      <c r="F10" s="7" t="s">
        <v>2</v>
      </c>
    </row>
    <row r="11" spans="1:6" s="6" customFormat="1" ht="24.75" customHeight="1">
      <c r="A11" s="8" t="str">
        <f>"時計台"</f>
        <v>時計台</v>
      </c>
      <c r="B11" s="8" t="str">
        <f>"遠藤　明久／著"</f>
        <v>遠藤　明久／著</v>
      </c>
      <c r="C11" s="8" t="str">
        <f>"北海道テレビ社長室"</f>
        <v>北海道テレビ社長室</v>
      </c>
      <c r="D11" s="8" t="str">
        <f>"1973.1"</f>
        <v>1973.1</v>
      </c>
      <c r="E11" s="8" t="str">
        <f>"0114773005"</f>
        <v>0114773005</v>
      </c>
      <c r="F11" s="7" t="s">
        <v>2</v>
      </c>
    </row>
    <row r="12" spans="1:6" s="6" customFormat="1" ht="24.75" customHeight="1">
      <c r="A12" s="8" t="str">
        <f>"ドサンコ"</f>
        <v>ドサンコ</v>
      </c>
      <c r="B12" s="8" t="str">
        <f>"八戸　芳夫／著"</f>
        <v>八戸　芳夫／著</v>
      </c>
      <c r="C12" s="8" t="str">
        <f>"北海道テレビ放送"</f>
        <v>北海道テレビ放送</v>
      </c>
      <c r="D12" s="8" t="str">
        <f>"1979.12"</f>
        <v>1979.12</v>
      </c>
      <c r="E12" s="8" t="str">
        <f>"0114773062"</f>
        <v>0114773062</v>
      </c>
      <c r="F12" s="7" t="s">
        <v>2</v>
      </c>
    </row>
    <row r="13" spans="1:6" s="6" customFormat="1" ht="24.75" customHeight="1">
      <c r="A13" s="8" t="str">
        <f>"北の獅子舞"</f>
        <v>北の獅子舞</v>
      </c>
      <c r="B13" s="8" t="str">
        <f>"川嶋　康男／著"</f>
        <v>川嶋　康男／著</v>
      </c>
      <c r="C13" s="8" t="str">
        <f>"北海道テレビ放送"</f>
        <v>北海道テレビ放送</v>
      </c>
      <c r="D13" s="8" t="str">
        <f>"1985.5"</f>
        <v>1985.5</v>
      </c>
      <c r="E13" s="8" t="str">
        <f>"0114773252"</f>
        <v>0114773252</v>
      </c>
      <c r="F13" s="7" t="s">
        <v>3</v>
      </c>
    </row>
    <row r="14" spans="1:6" s="6" customFormat="1" ht="24.75" customHeight="1">
      <c r="A14" s="8" t="str">
        <f>"歴史と建物の散歩道"</f>
        <v>歴史と建物の散歩道</v>
      </c>
      <c r="B14" s="8" t="str">
        <f>"角　幸博／著"</f>
        <v>角　幸博／著</v>
      </c>
      <c r="C14" s="8" t="str">
        <f>"北海道テレビ放送"</f>
        <v>北海道テレビ放送</v>
      </c>
      <c r="D14" s="8" t="str">
        <f>"1994.3"</f>
        <v>1994.3</v>
      </c>
      <c r="E14" s="8" t="str">
        <f>"0114773336"</f>
        <v>0114773336</v>
      </c>
      <c r="F14" s="7" t="s">
        <v>2</v>
      </c>
    </row>
    <row r="15" spans="1:6" s="6" customFormat="1" ht="24.75" customHeight="1">
      <c r="A15" s="8" t="str">
        <f>"すすきの案内"</f>
        <v>すすきの案内</v>
      </c>
      <c r="B15" s="8" t="str">
        <f>""</f>
        <v/>
      </c>
      <c r="C15" s="8" t="str">
        <f>"北海道テレビ社長室"</f>
        <v>北海道テレビ社長室</v>
      </c>
      <c r="D15" s="8" t="str">
        <f>"1970.6"</f>
        <v>1970.6</v>
      </c>
      <c r="E15" s="8" t="str">
        <f>"0114773484"</f>
        <v>0114773484</v>
      </c>
      <c r="F15" s="7" t="s">
        <v>2</v>
      </c>
    </row>
    <row r="16" spans="1:6" s="6" customFormat="1" ht="24.75" customHeight="1">
      <c r="A16" s="8" t="str">
        <f>"ふるさとの旅"</f>
        <v>ふるさとの旅</v>
      </c>
      <c r="B16" s="8" t="str">
        <f>"和田　義雄／編"</f>
        <v>和田　義雄／編</v>
      </c>
      <c r="C16" s="8" t="str">
        <f>"ぷやら新書刊行会"</f>
        <v>ぷやら新書刊行会</v>
      </c>
      <c r="D16" s="8" t="str">
        <f>"１９６２．１０"</f>
        <v>１９６２．１０</v>
      </c>
      <c r="E16" s="8" t="str">
        <f>"0114777949"</f>
        <v>0114777949</v>
      </c>
      <c r="F16" s="7" t="s">
        <v>4</v>
      </c>
    </row>
    <row r="17" spans="1:6" s="6" customFormat="1" ht="24.75" customHeight="1">
      <c r="A17" s="8" t="str">
        <f>"あとがき人生"</f>
        <v>あとがき人生</v>
      </c>
      <c r="B17" s="8" t="str">
        <f>"本多　貢／著"</f>
        <v>本多　貢／著</v>
      </c>
      <c r="C17" s="8" t="str">
        <f t="shared" ref="C17:C23" si="0">"余市町　余市豆本の会"</f>
        <v>余市町　余市豆本の会</v>
      </c>
      <c r="D17" s="8" t="str">
        <f>"１９９８．１０"</f>
        <v>１９９８．１０</v>
      </c>
      <c r="E17" s="8" t="str">
        <f>"0110177110"</f>
        <v>0110177110</v>
      </c>
      <c r="F17" s="7" t="s">
        <v>5</v>
      </c>
    </row>
    <row r="18" spans="1:6" s="6" customFormat="1" ht="24.75" customHeight="1">
      <c r="A18" s="8" t="str">
        <f>"シリパの夕陽"</f>
        <v>シリパの夕陽</v>
      </c>
      <c r="B18" s="8" t="str">
        <f>"鈴木　重安／著"</f>
        <v>鈴木　重安／著</v>
      </c>
      <c r="C18" s="8" t="str">
        <f t="shared" si="0"/>
        <v>余市町　余市豆本の会</v>
      </c>
      <c r="D18" s="8" t="str">
        <f>"１９９３．７"</f>
        <v>１９９３．７</v>
      </c>
      <c r="E18" s="8" t="str">
        <f>"0114774094"</f>
        <v>0114774094</v>
      </c>
      <c r="F18" s="7" t="s">
        <v>5</v>
      </c>
    </row>
    <row r="19" spans="1:6" s="6" customFormat="1" ht="24.75" customHeight="1">
      <c r="A19" s="8" t="str">
        <f>"愚老のたわごと"</f>
        <v>愚老のたわごと</v>
      </c>
      <c r="B19" s="8" t="str">
        <f>"酒井　嘉也／著"</f>
        <v>酒井　嘉也／著</v>
      </c>
      <c r="C19" s="8" t="str">
        <f t="shared" si="0"/>
        <v>余市町　余市豆本の会</v>
      </c>
      <c r="D19" s="8" t="str">
        <f>"１９９４．５"</f>
        <v>１９９４．５</v>
      </c>
      <c r="E19" s="8" t="str">
        <f>"0114774102"</f>
        <v>0114774102</v>
      </c>
      <c r="F19" s="7" t="s">
        <v>5</v>
      </c>
    </row>
    <row r="20" spans="1:6" s="6" customFormat="1" ht="24.75" customHeight="1">
      <c r="A20" s="8" t="str">
        <f>"北海道の豆本　＜えぞまめほんから開拓豆本まで＞"</f>
        <v>北海道の豆本　＜えぞまめほんから開拓豆本まで＞</v>
      </c>
      <c r="B20" s="8" t="str">
        <f>"川元　栄一／著"</f>
        <v>川元　栄一／著</v>
      </c>
      <c r="C20" s="8" t="str">
        <f t="shared" si="0"/>
        <v>余市町　余市豆本の会</v>
      </c>
      <c r="D20" s="8" t="str">
        <f>"１９９４．１１"</f>
        <v>１９９４．１１</v>
      </c>
      <c r="E20" s="8" t="str">
        <f>"0114774144"</f>
        <v>0114774144</v>
      </c>
      <c r="F20" s="7" t="s">
        <v>5</v>
      </c>
    </row>
    <row r="21" spans="1:6" s="6" customFormat="1" ht="24.75" customHeight="1">
      <c r="A21" s="8" t="str">
        <f>"後志の樹々（北限のブナと仲間たち）"</f>
        <v>後志の樹々（北限のブナと仲間たち）</v>
      </c>
      <c r="B21" s="8" t="str">
        <f>"笹塚　篤／著"</f>
        <v>笹塚　篤／著</v>
      </c>
      <c r="C21" s="8" t="str">
        <f t="shared" si="0"/>
        <v>余市町　余市豆本の会</v>
      </c>
      <c r="D21" s="8" t="str">
        <f>"１９９７．８"</f>
        <v>１９９７．８</v>
      </c>
      <c r="E21" s="8" t="str">
        <f>"0114774201"</f>
        <v>0114774201</v>
      </c>
      <c r="F21" s="7" t="s">
        <v>5</v>
      </c>
    </row>
    <row r="22" spans="1:6" s="6" customFormat="1" ht="24.75" customHeight="1">
      <c r="A22" s="8" t="str">
        <f>"教育の原風景（僻地に生きる二人の教師の小伝）"</f>
        <v>教育の原風景（僻地に生きる二人の教師の小伝）</v>
      </c>
      <c r="B22" s="8" t="str">
        <f>"葛西　庸三／著"</f>
        <v>葛西　庸三／著</v>
      </c>
      <c r="C22" s="8" t="str">
        <f t="shared" si="0"/>
        <v>余市町　余市豆本の会</v>
      </c>
      <c r="D22" s="8" t="str">
        <f>"１９９７．１２"</f>
        <v>１９９７．１２</v>
      </c>
      <c r="E22" s="8" t="str">
        <f>"0114774227"</f>
        <v>0114774227</v>
      </c>
      <c r="F22" s="7" t="s">
        <v>5</v>
      </c>
    </row>
    <row r="23" spans="1:6" s="6" customFormat="1" ht="24.75" customHeight="1">
      <c r="A23" s="8" t="str">
        <f>"釣りと人生"</f>
        <v>釣りと人生</v>
      </c>
      <c r="B23" s="8" t="str">
        <f>"池澤　章／著"</f>
        <v>池澤　章／著</v>
      </c>
      <c r="C23" s="8" t="str">
        <f t="shared" si="0"/>
        <v>余市町　余市豆本の会</v>
      </c>
      <c r="D23" s="8" t="str">
        <f>"１９９８．６"</f>
        <v>１９９８．６</v>
      </c>
      <c r="E23" s="8" t="str">
        <f>"0114774243"</f>
        <v>0114774243</v>
      </c>
      <c r="F23" s="7" t="s">
        <v>5</v>
      </c>
    </row>
    <row r="24" spans="1:6" s="6" customFormat="1" ht="24.75" customHeight="1">
      <c r="A24" s="8" t="str">
        <f>"小樽の恋びと"</f>
        <v>小樽の恋びと</v>
      </c>
      <c r="B24" s="8" t="str">
        <f>"武井　静雄／著"</f>
        <v>武井　静雄／著</v>
      </c>
      <c r="C24" s="8" t="str">
        <f>"緑丘舎"</f>
        <v>緑丘舎</v>
      </c>
      <c r="D24" s="8" t="str">
        <f>"１９８０．４"</f>
        <v>１９８０．４</v>
      </c>
      <c r="E24" s="8" t="str">
        <f>"0114773864"</f>
        <v>0114773864</v>
      </c>
      <c r="F24" s="7" t="s">
        <v>6</v>
      </c>
    </row>
    <row r="25" spans="1:6" s="6" customFormat="1" ht="24.75" customHeight="1">
      <c r="A25" s="8" t="str">
        <f>"大都市への軌跡"</f>
        <v>大都市への軌跡</v>
      </c>
      <c r="B25" s="8" t="str">
        <f>"札幌市総務局秘書広報部／編集"</f>
        <v>札幌市総務局秘書広報部／編集</v>
      </c>
      <c r="C25" s="8" t="str">
        <f>"札幌市"</f>
        <v>札幌市</v>
      </c>
      <c r="D25" s="8" t="str">
        <f>"[1992]"</f>
        <v>[1992]</v>
      </c>
      <c r="E25" s="8" t="str">
        <f>"0114142698"</f>
        <v>0114142698</v>
      </c>
      <c r="F25" s="7" t="s">
        <v>18</v>
      </c>
    </row>
    <row r="26" spans="1:6" s="6" customFormat="1" ht="24.75" customHeight="1">
      <c r="A26" s="8" t="str">
        <f>"札幌市の昭和"</f>
        <v>札幌市の昭和</v>
      </c>
      <c r="B26" s="8" t="str">
        <f>""</f>
        <v/>
      </c>
      <c r="C26" s="8" t="str">
        <f>"いき出版"</f>
        <v>いき出版</v>
      </c>
      <c r="D26" s="8" t="str">
        <f>"2012.8"</f>
        <v>2012.8</v>
      </c>
      <c r="E26" s="8" t="str">
        <f>"0119018810"</f>
        <v>0119018810</v>
      </c>
      <c r="F26" s="7" t="s">
        <v>18</v>
      </c>
    </row>
    <row r="27" spans="1:6" s="6" customFormat="1" ht="24.75" customHeight="1">
      <c r="A27" s="8" t="str">
        <f>"目で見る札幌の１００年"</f>
        <v>目で見る札幌の１００年</v>
      </c>
      <c r="B27" s="8" t="str">
        <f>"君　尹彦／監修"</f>
        <v>君　尹彦／監修</v>
      </c>
      <c r="C27" s="8" t="str">
        <f>"郷土出版社"</f>
        <v>郷土出版社</v>
      </c>
      <c r="D27" s="8" t="str">
        <f>"２００５．８"</f>
        <v>２００５．８</v>
      </c>
      <c r="E27" s="8" t="str">
        <f>"0116845934"</f>
        <v>0116845934</v>
      </c>
      <c r="F27" s="7" t="s">
        <v>19</v>
      </c>
    </row>
    <row r="28" spans="1:6" s="6" customFormat="1" ht="24.75" customHeight="1">
      <c r="A28" s="8" t="str">
        <f>"写真記録「日本の美」"</f>
        <v>写真記録「日本の美」</v>
      </c>
      <c r="B28" s="8" t="str">
        <f>"写真記録刊行会／編"</f>
        <v>写真記録刊行会／編</v>
      </c>
      <c r="C28" s="8" t="str">
        <f>"日本ブックエース"</f>
        <v>日本ブックエース</v>
      </c>
      <c r="D28" s="8" t="str">
        <f>"2012.9"</f>
        <v>2012.9</v>
      </c>
      <c r="E28" s="8" t="str">
        <f>"0119145647"</f>
        <v>0119145647</v>
      </c>
      <c r="F28" s="7" t="s">
        <v>25</v>
      </c>
    </row>
    <row r="29" spans="1:6" s="6" customFormat="1" ht="24.75" customHeight="1">
      <c r="A29" s="8" t="str">
        <f>"写真記録「日本の美」"</f>
        <v>写真記録「日本の美」</v>
      </c>
      <c r="B29" s="8" t="str">
        <f>"写真記録刊行会／編"</f>
        <v>写真記録刊行会／編</v>
      </c>
      <c r="C29" s="8" t="str">
        <f>"日本ブックエース"</f>
        <v>日本ブックエース</v>
      </c>
      <c r="D29" s="8" t="str">
        <f>"2012.9"</f>
        <v>2012.9</v>
      </c>
      <c r="E29" s="8" t="str">
        <f>"0119145654"</f>
        <v>0119145654</v>
      </c>
      <c r="F29" s="7" t="s">
        <v>26</v>
      </c>
    </row>
    <row r="30" spans="1:6" s="6" customFormat="1" ht="24.75" customHeight="1">
      <c r="A30" s="8" t="str">
        <f>"［札幌南高等学校］百年史"</f>
        <v>［札幌南高等学校］百年史</v>
      </c>
      <c r="B30" s="8" t="str">
        <f>"札幌南高等学校／［ほか］編"</f>
        <v>札幌南高等学校／［ほか］編</v>
      </c>
      <c r="C30" s="8" t="str">
        <f>"札幌南高等学校"</f>
        <v>札幌南高等学校</v>
      </c>
      <c r="D30" s="8" t="str">
        <f>"１９９７．３"</f>
        <v>１９９７．３</v>
      </c>
      <c r="E30" s="8" t="str">
        <f>"0112373527"</f>
        <v>0112373527</v>
      </c>
      <c r="F30" s="7" t="s">
        <v>12</v>
      </c>
    </row>
    <row r="31" spans="1:6" s="6" customFormat="1" ht="24.75" customHeight="1">
      <c r="A31" s="8" t="str">
        <f>"恵迪寮史　復刻版"</f>
        <v>恵迪寮史　復刻版</v>
      </c>
      <c r="B31" s="8" t="str">
        <f>"北海道帝国大学／編"</f>
        <v>北海道帝国大学／編</v>
      </c>
      <c r="C31" s="8" t="str">
        <f>"札幌　北海道大学恵廸寮"</f>
        <v>札幌　北海道大学恵廸寮</v>
      </c>
      <c r="D31" s="8" t="str">
        <f>"１９７５．１１"</f>
        <v>１９７５．１１</v>
      </c>
      <c r="E31" s="8" t="str">
        <f>"0113105019"</f>
        <v>0113105019</v>
      </c>
      <c r="F31" s="7" t="s">
        <v>15</v>
      </c>
    </row>
    <row r="32" spans="1:6" s="6" customFormat="1" ht="24.75" customHeight="1">
      <c r="A32" s="8" t="str">
        <f>"恵廸寮史　第２巻"</f>
        <v>恵廸寮史　第２巻</v>
      </c>
      <c r="B32" s="8" t="str">
        <f>"恵廸寮寮史編纂委員会／編"</f>
        <v>恵廸寮寮史編纂委員会／編</v>
      </c>
      <c r="C32" s="8" t="str">
        <f>"札幌　北海道大学恵廸寮"</f>
        <v>札幌　北海道大学恵廸寮</v>
      </c>
      <c r="D32" s="8" t="str">
        <f>"１９８７．３"</f>
        <v>１９８７．３</v>
      </c>
      <c r="E32" s="8" t="str">
        <f>"0112375605"</f>
        <v>0112375605</v>
      </c>
      <c r="F32" s="7" t="s">
        <v>13</v>
      </c>
    </row>
    <row r="33" spans="1:6" s="6" customFormat="1" ht="24.75" customHeight="1">
      <c r="A33" s="8" t="str">
        <f>"札幌歩兵第二十五聯隊誌"</f>
        <v>札幌歩兵第二十五聯隊誌</v>
      </c>
      <c r="B33" s="8" t="str">
        <f>"高橋 憲一／著"</f>
        <v>高橋 憲一／著</v>
      </c>
      <c r="C33" s="8" t="str">
        <f>"大昭和興産出版部"</f>
        <v>大昭和興産出版部</v>
      </c>
      <c r="D33" s="8" t="str">
        <f>"1993.7"</f>
        <v>1993.7</v>
      </c>
      <c r="E33" s="8" t="str">
        <f>"0110154465"</f>
        <v>0110154465</v>
      </c>
      <c r="F33" s="7" t="s">
        <v>7</v>
      </c>
    </row>
    <row r="34" spans="1:6" s="6" customFormat="1" ht="24.75" customHeight="1">
      <c r="A34" s="8" t="str">
        <f>"石狩川昭和56年8月洪水報告書"</f>
        <v>石狩川昭和56年8月洪水報告書</v>
      </c>
      <c r="B34" s="8" t="str">
        <f>"北海道開発局石狩川開発建設部／監修"</f>
        <v>北海道開発局石狩川開発建設部／監修</v>
      </c>
      <c r="C34" s="8" t="str">
        <f>"北海道開発協会"</f>
        <v>北海道開発協会</v>
      </c>
      <c r="D34" s="8" t="str">
        <f>"1984.3"</f>
        <v>1984.3</v>
      </c>
      <c r="E34" s="8" t="str">
        <f>"0119673572"</f>
        <v>0119673572</v>
      </c>
      <c r="F34" s="7" t="s">
        <v>29</v>
      </c>
    </row>
    <row r="35" spans="1:6" s="6" customFormat="1" ht="24.75" customHeight="1">
      <c r="A35" s="8" t="str">
        <f>"北海道の開拓と建築"</f>
        <v>北海道の開拓と建築</v>
      </c>
      <c r="B35" s="8" t="str">
        <f>"北海道建築士会／編"</f>
        <v>北海道建築士会／編</v>
      </c>
      <c r="C35" s="8" t="str">
        <f>"北海道建築士会"</f>
        <v>北海道建築士会</v>
      </c>
      <c r="D35" s="8" t="str">
        <f>"1987.3"</f>
        <v>1987.3</v>
      </c>
      <c r="E35" s="8" t="str">
        <f>"0111942801"</f>
        <v>0111942801</v>
      </c>
      <c r="F35" s="8" t="s">
        <v>11</v>
      </c>
    </row>
    <row r="36" spans="1:6" s="6" customFormat="1" ht="24.75" customHeight="1">
      <c r="A36" s="8" t="str">
        <f>"北海道の開拓と建築"</f>
        <v>北海道の開拓と建築</v>
      </c>
      <c r="B36" s="8" t="str">
        <f>"北海道建築士会／編集"</f>
        <v>北海道建築士会／編集</v>
      </c>
      <c r="C36" s="8" t="str">
        <f>"北海道建築士会"</f>
        <v>北海道建築士会</v>
      </c>
      <c r="D36" s="8" t="str">
        <f>"1987.6"</f>
        <v>1987.6</v>
      </c>
      <c r="E36" s="8" t="str">
        <f>"0111942827"</f>
        <v>0111942827</v>
      </c>
      <c r="F36" s="7" t="s">
        <v>11</v>
      </c>
    </row>
    <row r="37" spans="1:6" s="6" customFormat="1" ht="24.75" customHeight="1">
      <c r="A37" s="8" t="str">
        <f>"さっぽろの足"</f>
        <v>さっぽろの足</v>
      </c>
      <c r="B37" s="8" t="str">
        <f>"札幌市交通局管理部／編集"</f>
        <v>札幌市交通局管理部／編集</v>
      </c>
      <c r="C37" s="8" t="str">
        <f>"札幌市交通局"</f>
        <v>札幌市交通局</v>
      </c>
      <c r="D37" s="8" t="str">
        <f>"1977"</f>
        <v>1977</v>
      </c>
      <c r="E37" s="8" t="str">
        <f>"0180034191"</f>
        <v>0180034191</v>
      </c>
      <c r="F37" s="9" t="s">
        <v>31</v>
      </c>
    </row>
    <row r="38" spans="1:6" s="6" customFormat="1" ht="24.75" customHeight="1">
      <c r="A38" s="8" t="str">
        <f>"イサム・ノグチの世界"</f>
        <v>イサム・ノグチの世界</v>
      </c>
      <c r="B38" s="8" t="str">
        <f>"イサム・ノグチ／[作]"</f>
        <v>イサム・ノグチ／[作]</v>
      </c>
      <c r="C38" s="8" t="str">
        <f>"ぎょうせい"</f>
        <v>ぎょうせい</v>
      </c>
      <c r="D38" s="8" t="str">
        <f>"1998.6"</f>
        <v>1998.6</v>
      </c>
      <c r="E38" s="8" t="str">
        <f>"0113094973"</f>
        <v>0113094973</v>
      </c>
      <c r="F38" s="8" t="s">
        <v>14</v>
      </c>
    </row>
    <row r="39" spans="1:6" s="6" customFormat="1" ht="24.75" customHeight="1">
      <c r="A39" s="8" t="str">
        <f>"&lt;巨匠が描く&gt;日本の名山"</f>
        <v>&lt;巨匠が描く&gt;日本の名山</v>
      </c>
      <c r="B39" s="8" t="str">
        <f>"鈴木 進／監修"</f>
        <v>鈴木 進／監修</v>
      </c>
      <c r="C39" s="8" t="str">
        <f>"郷土出版社"</f>
        <v>郷土出版社</v>
      </c>
      <c r="D39" s="8" t="str">
        <f>"1999.8"</f>
        <v>1999.8</v>
      </c>
      <c r="E39" s="8" t="str">
        <f>"0113407423"</f>
        <v>0113407423</v>
      </c>
      <c r="F39" s="8" t="s">
        <v>17</v>
      </c>
    </row>
    <row r="40" spans="1:6" s="6" customFormat="1" ht="24.75" customHeight="1">
      <c r="A40" s="8" t="str">
        <f>"大雪山"</f>
        <v>大雪山</v>
      </c>
      <c r="B40" s="8" t="str">
        <f>"市根井 孝悦／著"</f>
        <v>市根井 孝悦／著</v>
      </c>
      <c r="C40" s="8" t="str">
        <f>"山と溪谷社"</f>
        <v>山と溪谷社</v>
      </c>
      <c r="D40" s="8" t="str">
        <f>"2014.6"</f>
        <v>2014.6</v>
      </c>
      <c r="E40" s="8" t="str">
        <f>"0119460566"</f>
        <v>0119460566</v>
      </c>
      <c r="F40" s="9" t="s">
        <v>28</v>
      </c>
    </row>
    <row r="41" spans="1:6" s="6" customFormat="1" ht="24.75" customHeight="1">
      <c r="A41" s="8" t="str">
        <f>"エゾヒグマ"</f>
        <v>エゾヒグマ</v>
      </c>
      <c r="B41" s="8" t="str">
        <f>"久保 敬親／著"</f>
        <v>久保 敬親／著</v>
      </c>
      <c r="C41" s="8" t="str">
        <f>"山と渓谷社"</f>
        <v>山と渓谷社</v>
      </c>
      <c r="D41" s="8" t="str">
        <f>"1999.8"</f>
        <v>1999.8</v>
      </c>
      <c r="E41" s="8" t="str">
        <f>"0113295182"</f>
        <v>0113295182</v>
      </c>
      <c r="F41" s="8" t="s">
        <v>16</v>
      </c>
    </row>
    <row r="42" spans="1:6" s="6" customFormat="1" ht="24.75" customHeight="1">
      <c r="A42" s="8" t="str">
        <f>"写真甲子園20年の軌跡"</f>
        <v>写真甲子園20年の軌跡</v>
      </c>
      <c r="B42" s="8" t="str">
        <f>"立木 義浩／監修"</f>
        <v>立木 義浩／監修</v>
      </c>
      <c r="C42" s="8" t="str">
        <f>"北海道新聞社"</f>
        <v>北海道新聞社</v>
      </c>
      <c r="D42" s="8" t="str">
        <f>"2014.3"</f>
        <v>2014.3</v>
      </c>
      <c r="E42" s="8" t="str">
        <f>"0119436897"</f>
        <v>0119436897</v>
      </c>
      <c r="F42" s="9" t="s">
        <v>27</v>
      </c>
    </row>
    <row r="43" spans="1:6" s="6" customFormat="1" ht="24.75" customHeight="1">
      <c r="A43" s="8" t="str">
        <f>"北海道"</f>
        <v>北海道</v>
      </c>
      <c r="B43" s="8" t="str">
        <f>"森山　大道／［写真］"</f>
        <v>森山　大道／［写真］</v>
      </c>
      <c r="C43" s="8" t="str">
        <f>"ＲＡＴ　ＨＯＬＥ　ＧＡＬＬＥＲＹ"</f>
        <v>ＲＡＴ　ＨＯＬＥ　ＧＡＬＬＥＲＹ</v>
      </c>
      <c r="D43" s="8" t="str">
        <f>"２００８．１２"</f>
        <v>２００８．１２</v>
      </c>
      <c r="E43" s="8" t="str">
        <f>"0117854901"</f>
        <v>0117854901</v>
      </c>
      <c r="F43" s="9" t="s">
        <v>22</v>
      </c>
    </row>
    <row r="44" spans="1:6" s="6" customFormat="1" ht="24.75" customHeight="1">
      <c r="A44" s="8" t="str">
        <f>"北海道--季(トキ)の色"</f>
        <v>北海道--季(トキ)の色</v>
      </c>
      <c r="B44" s="8" t="str">
        <f>"綿引 幸造／著"</f>
        <v>綿引 幸造／著</v>
      </c>
      <c r="C44" s="8" t="str">
        <f>"ぎょうせい"</f>
        <v>ぎょうせい</v>
      </c>
      <c r="D44" s="8" t="str">
        <f>"1987.8"</f>
        <v>1987.8</v>
      </c>
      <c r="E44" s="8" t="str">
        <f>"0111554168"</f>
        <v>0111554168</v>
      </c>
      <c r="F44" s="8" t="s">
        <v>8</v>
      </c>
    </row>
    <row r="45" spans="1:6" s="6" customFormat="1" ht="24.75" customHeight="1">
      <c r="A45" s="8" t="str">
        <f>"札幌交響楽団"</f>
        <v>札幌交響楽団</v>
      </c>
      <c r="B45" s="8" t="str">
        <f>"札幌交響楽団／編"</f>
        <v>札幌交響楽団／編</v>
      </c>
      <c r="C45" s="8" t="str">
        <f>"北海道新聞社"</f>
        <v>北海道新聞社</v>
      </c>
      <c r="D45" s="8" t="str">
        <f>"1982.4"</f>
        <v>1982.4</v>
      </c>
      <c r="E45" s="8" t="str">
        <f>"0111555223"</f>
        <v>0111555223</v>
      </c>
      <c r="F45" s="8" t="s">
        <v>9</v>
      </c>
    </row>
    <row r="46" spans="1:6" s="6" customFormat="1" ht="24.75" customHeight="1">
      <c r="A46" s="8" t="str">
        <f>"スタジオジブリ・レイアウト展"</f>
        <v>スタジオジブリ・レイアウト展</v>
      </c>
      <c r="B46" s="8" t="str">
        <f>"スタジオジブリ／編集"</f>
        <v>スタジオジブリ／編集</v>
      </c>
      <c r="C46" s="8" t="str">
        <f>"日本テレビ放送網"</f>
        <v>日本テレビ放送網</v>
      </c>
      <c r="D46" s="8" t="str">
        <f>"2008.7"</f>
        <v>2008.7</v>
      </c>
      <c r="E46" s="8" t="str">
        <f>"0118500974"</f>
        <v>0118500974</v>
      </c>
      <c r="F46" s="9" t="s">
        <v>23</v>
      </c>
    </row>
    <row r="47" spans="1:6" s="6" customFormat="1" ht="24.75" customHeight="1">
      <c r="A47" s="8" t="str">
        <f>"新海誠展"</f>
        <v>新海誠展</v>
      </c>
      <c r="B47" s="8" t="str">
        <f>"新海 誠／[画]"</f>
        <v>新海 誠／[画]</v>
      </c>
      <c r="C47" s="8" t="str">
        <f>"朝日新聞社"</f>
        <v>朝日新聞社</v>
      </c>
      <c r="D47" s="8" t="str">
        <f>"2017.11"</f>
        <v>2017.11</v>
      </c>
      <c r="E47" s="8" t="str">
        <f>"0180258295"</f>
        <v>0180258295</v>
      </c>
      <c r="F47" s="9" t="s">
        <v>32</v>
      </c>
    </row>
    <row r="48" spans="1:6" s="6" customFormat="1" ht="24.75" customHeight="1">
      <c r="A48" s="8" t="str">
        <f>"「号外」戦後史"</f>
        <v>「号外」戦後史</v>
      </c>
      <c r="B48" s="8" t="str">
        <f>""</f>
        <v/>
      </c>
      <c r="C48" s="8" t="str">
        <f>"大空社"</f>
        <v>大空社</v>
      </c>
      <c r="D48" s="8" t="str">
        <f>"1995.7"</f>
        <v>1995.7</v>
      </c>
      <c r="E48" s="8" t="str">
        <f>"0111715058"</f>
        <v>0111715058</v>
      </c>
      <c r="F48" s="7" t="s">
        <v>10</v>
      </c>
    </row>
    <row r="49" spans="1:6" s="6" customFormat="1" ht="24.75" customHeight="1">
      <c r="A49" s="8" t="str">
        <f>"二十世紀の新聞"</f>
        <v>二十世紀の新聞</v>
      </c>
      <c r="B49" s="8" t="str">
        <f>"２０世紀の歴史編集委員会／編"</f>
        <v>２０世紀の歴史編集委員会／編</v>
      </c>
      <c r="C49" s="8" t="str">
        <f>"日本メール・オーダー"</f>
        <v>日本メール・オーダー</v>
      </c>
      <c r="D49" s="8" t="str">
        <f>"１９７７．１２"</f>
        <v>１９７７．１２</v>
      </c>
      <c r="E49" s="8" t="str">
        <f>"0119136778"</f>
        <v>0119136778</v>
      </c>
      <c r="F49" s="7" t="s">
        <v>24</v>
      </c>
    </row>
    <row r="50" spans="1:6" s="6" customFormat="1" ht="24.75" customHeight="1">
      <c r="A50" s="8" t="str">
        <f>"Portland"</f>
        <v>Portland</v>
      </c>
      <c r="B50" s="8" t="str">
        <f>"Jonathan Nicholas／文"</f>
        <v>Jonathan Nicholas／文</v>
      </c>
      <c r="C50" s="8" t="str">
        <f>"Graphic Arts Center"</f>
        <v>Graphic Arts Center</v>
      </c>
      <c r="D50" s="8" t="str">
        <f>"[1990]"</f>
        <v>[1990]</v>
      </c>
      <c r="E50" s="8" t="str">
        <f>"0119703650"</f>
        <v>0119703650</v>
      </c>
      <c r="F50" s="7" t="s">
        <v>30</v>
      </c>
    </row>
    <row r="51" spans="1:6" s="6" customFormat="1" ht="24.75" customHeight="1">
      <c r="A51" s="8" t="str">
        <f>"Munchen"</f>
        <v>Munchen</v>
      </c>
      <c r="B51" s="8" t="str">
        <f>"Erika Drave／写真"</f>
        <v>Erika Drave／写真</v>
      </c>
      <c r="C51" s="8" t="str">
        <f>"Suddeutscher verlag"</f>
        <v>Suddeutscher verlag</v>
      </c>
      <c r="D51" s="8" t="str">
        <f>"1977"</f>
        <v>1977</v>
      </c>
      <c r="E51" s="8" t="str">
        <f>"0117738153"</f>
        <v>0117738153</v>
      </c>
      <c r="F51" s="9" t="s">
        <v>21</v>
      </c>
    </row>
  </sheetData>
  <sortState ref="A3:F51">
    <sortCondition ref="F3:F51"/>
  </sortState>
  <mergeCells count="2">
    <mergeCell ref="A1:C1"/>
    <mergeCell ref="D1:F1"/>
  </mergeCells>
  <phoneticPr fontId="6"/>
  <printOptions horizontalCentered="1"/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34" workbookViewId="0">
      <selection activeCell="C41" sqref="C41"/>
    </sheetView>
  </sheetViews>
  <sheetFormatPr defaultRowHeight="13.5"/>
  <cols>
    <col min="1" max="1" width="44.875" customWidth="1"/>
    <col min="2" max="2" width="28" customWidth="1"/>
    <col min="3" max="3" width="22.875" customWidth="1"/>
    <col min="5" max="5" width="11.625" style="2" bestFit="1" customWidth="1"/>
    <col min="6" max="6" width="15.125" customWidth="1"/>
  </cols>
  <sheetData>
    <row r="1" spans="1:6" s="1" customFormat="1" ht="47.25" customHeight="1">
      <c r="A1" s="11" t="s">
        <v>0</v>
      </c>
      <c r="B1" s="12"/>
      <c r="C1" s="12"/>
      <c r="D1" s="13" t="s">
        <v>1</v>
      </c>
      <c r="E1" s="13"/>
      <c r="F1" s="13"/>
    </row>
    <row r="2" spans="1:6" s="5" customFormat="1" ht="15" customHeight="1">
      <c r="A2" s="3" t="str">
        <f>"書名"</f>
        <v>書名</v>
      </c>
      <c r="B2" s="3" t="str">
        <f>"著者名"</f>
        <v>著者名</v>
      </c>
      <c r="C2" s="3" t="str">
        <f>"出版社"</f>
        <v>出版社</v>
      </c>
      <c r="D2" s="3" t="str">
        <f>"出版年"</f>
        <v>出版年</v>
      </c>
      <c r="E2" s="4" t="str">
        <f>"資料番号"</f>
        <v>資料番号</v>
      </c>
      <c r="F2" s="3" t="str">
        <f>"請求記号"</f>
        <v>請求記号</v>
      </c>
    </row>
    <row r="3" spans="1:6" s="6" customFormat="1" ht="24.75" customHeight="1">
      <c r="A3" s="8" t="str">
        <f>"札幌"</f>
        <v>札幌</v>
      </c>
      <c r="B3" s="8" t="str">
        <f>"関 秀志／編著"</f>
        <v>関 秀志／編著</v>
      </c>
      <c r="C3" s="8" t="str">
        <f>"国書刊行会"</f>
        <v>国書刊行会</v>
      </c>
      <c r="D3" s="8" t="str">
        <f>"1979.9"</f>
        <v>1979.9</v>
      </c>
      <c r="E3" s="8" t="str">
        <f>"0117407890"</f>
        <v>0117407890</v>
      </c>
      <c r="F3" s="7" t="s">
        <v>20</v>
      </c>
    </row>
    <row r="4" spans="1:6" s="6" customFormat="1" ht="24.75" customHeight="1">
      <c r="A4" s="8" t="str">
        <f>"赤レンガ"</f>
        <v>赤レンガ</v>
      </c>
      <c r="B4" s="8" t="str">
        <f>"遠藤　明久／著"</f>
        <v>遠藤　明久／著</v>
      </c>
      <c r="C4" s="8" t="str">
        <f>"北海道テレビ社長室"</f>
        <v>北海道テレビ社長室</v>
      </c>
      <c r="D4" s="8" t="str">
        <f>"1970.9"</f>
        <v>1970.9</v>
      </c>
      <c r="E4" s="8" t="str">
        <f>"0114772734"</f>
        <v>0114772734</v>
      </c>
      <c r="F4" s="7" t="s">
        <v>2</v>
      </c>
    </row>
    <row r="5" spans="1:6" s="6" customFormat="1" ht="24.75" customHeight="1">
      <c r="A5" s="8" t="str">
        <f>"ひらぎし物語"</f>
        <v>ひらぎし物語</v>
      </c>
      <c r="B5" s="8" t="str">
        <f>"工藤　欣弥／著"</f>
        <v>工藤　欣弥／著</v>
      </c>
      <c r="C5" s="8" t="str">
        <f>"北海道テレビ社長室"</f>
        <v>北海道テレビ社長室</v>
      </c>
      <c r="D5" s="8" t="str">
        <f>"1970"</f>
        <v>1970</v>
      </c>
      <c r="E5" s="8" t="str">
        <f>"0114772759"</f>
        <v>0114772759</v>
      </c>
      <c r="F5" s="7" t="s">
        <v>2</v>
      </c>
    </row>
    <row r="6" spans="1:6" s="6" customFormat="1" ht="24.75" customHeight="1">
      <c r="A6" s="8" t="str">
        <f>"定山溪鉄道"</f>
        <v>定山溪鉄道</v>
      </c>
      <c r="B6" s="8" t="str">
        <f>"桐原 酉次／著"</f>
        <v>桐原 酉次／著</v>
      </c>
      <c r="C6" s="8" t="str">
        <f>"北海道テレビ社長室"</f>
        <v>北海道テレビ社長室</v>
      </c>
      <c r="D6" s="8" t="str">
        <f>"1970.10"</f>
        <v>1970.10</v>
      </c>
      <c r="E6" s="8" t="str">
        <f>"0114772882"</f>
        <v>0114772882</v>
      </c>
      <c r="F6" s="7" t="s">
        <v>2</v>
      </c>
    </row>
    <row r="7" spans="1:6" s="6" customFormat="1" ht="24.75" customHeight="1">
      <c r="A7" s="8" t="str">
        <f>"豊平館"</f>
        <v>豊平館</v>
      </c>
      <c r="B7" s="8" t="str">
        <f>"遠藤　明久／著"</f>
        <v>遠藤　明久／著</v>
      </c>
      <c r="C7" s="8" t="str">
        <f>"北海道テレビ放送"</f>
        <v>北海道テレビ放送</v>
      </c>
      <c r="D7" s="8" t="str">
        <f>"1976.1"</f>
        <v>1976.1</v>
      </c>
      <c r="E7" s="8" t="str">
        <f>"0114772916"</f>
        <v>0114772916</v>
      </c>
      <c r="F7" s="7" t="s">
        <v>2</v>
      </c>
    </row>
    <row r="8" spans="1:6" s="6" customFormat="1" ht="24.75" customHeight="1">
      <c r="A8" s="8" t="str">
        <f>"札幌のチンチン電車"</f>
        <v>札幌のチンチン電車</v>
      </c>
      <c r="B8" s="8" t="str">
        <f>"長南 千代吉／著"</f>
        <v>長南 千代吉／著</v>
      </c>
      <c r="C8" s="8" t="str">
        <f>"北海道テレビ放送"</f>
        <v>北海道テレビ放送</v>
      </c>
      <c r="D8" s="8" t="str">
        <f>"1974.6"</f>
        <v>1974.6</v>
      </c>
      <c r="E8" s="8" t="str">
        <f>"0114772940"</f>
        <v>0114772940</v>
      </c>
      <c r="F8" s="7" t="s">
        <v>2</v>
      </c>
    </row>
    <row r="9" spans="1:6" s="6" customFormat="1" ht="24.75" customHeight="1">
      <c r="A9" s="8" t="str">
        <f>"狸小路"</f>
        <v>狸小路</v>
      </c>
      <c r="B9" s="8" t="str">
        <f>"金田一 昌三／著"</f>
        <v>金田一 昌三／著</v>
      </c>
      <c r="C9" s="8" t="str">
        <f>"北海道テレビ企画局"</f>
        <v>北海道テレビ企画局</v>
      </c>
      <c r="D9" s="8" t="str">
        <f>"1973.9"</f>
        <v>1973.9</v>
      </c>
      <c r="E9" s="8" t="str">
        <f>"0114772965"</f>
        <v>0114772965</v>
      </c>
      <c r="F9" s="7" t="s">
        <v>2</v>
      </c>
    </row>
    <row r="10" spans="1:6" s="6" customFormat="1" ht="24.75" customHeight="1">
      <c r="A10" s="8" t="str">
        <f>"北海道のわらべうた"</f>
        <v>北海道のわらべうた</v>
      </c>
      <c r="B10" s="8" t="str">
        <f>"樋口　忠次郎／著"</f>
        <v>樋口　忠次郎／著</v>
      </c>
      <c r="C10" s="8" t="str">
        <f>"北海道テレビ企画局"</f>
        <v>北海道テレビ企画局</v>
      </c>
      <c r="D10" s="8" t="str">
        <f>"1973.8"</f>
        <v>1973.8</v>
      </c>
      <c r="E10" s="8" t="str">
        <f>"0114772973"</f>
        <v>0114772973</v>
      </c>
      <c r="F10" s="7" t="s">
        <v>2</v>
      </c>
    </row>
    <row r="11" spans="1:6" s="6" customFormat="1" ht="24.75" customHeight="1">
      <c r="A11" s="8" t="str">
        <f>"時計台"</f>
        <v>時計台</v>
      </c>
      <c r="B11" s="8" t="str">
        <f>"遠藤　明久／著"</f>
        <v>遠藤　明久／著</v>
      </c>
      <c r="C11" s="8" t="str">
        <f>"北海道テレビ社長室"</f>
        <v>北海道テレビ社長室</v>
      </c>
      <c r="D11" s="8" t="str">
        <f>"1973.1"</f>
        <v>1973.1</v>
      </c>
      <c r="E11" s="8" t="str">
        <f>"0114773005"</f>
        <v>0114773005</v>
      </c>
      <c r="F11" s="7" t="s">
        <v>2</v>
      </c>
    </row>
    <row r="12" spans="1:6" s="6" customFormat="1" ht="24.75" customHeight="1">
      <c r="A12" s="8" t="str">
        <f>"ドサンコ"</f>
        <v>ドサンコ</v>
      </c>
      <c r="B12" s="8" t="str">
        <f>"八戸　芳夫／著"</f>
        <v>八戸　芳夫／著</v>
      </c>
      <c r="C12" s="8" t="str">
        <f>"北海道テレビ放送"</f>
        <v>北海道テレビ放送</v>
      </c>
      <c r="D12" s="8" t="str">
        <f>"1979.12"</f>
        <v>1979.12</v>
      </c>
      <c r="E12" s="8" t="str">
        <f>"0114773062"</f>
        <v>0114773062</v>
      </c>
      <c r="F12" s="7" t="s">
        <v>2</v>
      </c>
    </row>
    <row r="13" spans="1:6" s="6" customFormat="1" ht="24.75" customHeight="1">
      <c r="A13" s="8" t="str">
        <f>"北の獅子舞"</f>
        <v>北の獅子舞</v>
      </c>
      <c r="B13" s="8" t="str">
        <f>"川嶋　康男／著"</f>
        <v>川嶋　康男／著</v>
      </c>
      <c r="C13" s="8" t="str">
        <f>"北海道テレビ放送"</f>
        <v>北海道テレビ放送</v>
      </c>
      <c r="D13" s="8" t="str">
        <f>"1985.5"</f>
        <v>1985.5</v>
      </c>
      <c r="E13" s="8" t="str">
        <f>"0114773252"</f>
        <v>0114773252</v>
      </c>
      <c r="F13" s="7" t="s">
        <v>2</v>
      </c>
    </row>
    <row r="14" spans="1:6" s="6" customFormat="1" ht="24.75" customHeight="1">
      <c r="A14" s="8" t="str">
        <f>"歴史と建物の散歩道"</f>
        <v>歴史と建物の散歩道</v>
      </c>
      <c r="B14" s="8" t="str">
        <f>"角　幸博／著"</f>
        <v>角　幸博／著</v>
      </c>
      <c r="C14" s="8" t="str">
        <f>"北海道テレビ放送"</f>
        <v>北海道テレビ放送</v>
      </c>
      <c r="D14" s="8" t="str">
        <f>"1994.3"</f>
        <v>1994.3</v>
      </c>
      <c r="E14" s="8" t="str">
        <f>"0114773336"</f>
        <v>0114773336</v>
      </c>
      <c r="F14" s="7" t="s">
        <v>2</v>
      </c>
    </row>
    <row r="15" spans="1:6" s="6" customFormat="1" ht="24.75" customHeight="1">
      <c r="A15" s="8" t="str">
        <f>"すすきの案内"</f>
        <v>すすきの案内</v>
      </c>
      <c r="B15" s="8" t="str">
        <f>""</f>
        <v/>
      </c>
      <c r="C15" s="8" t="str">
        <f>"北海道テレビ社長室"</f>
        <v>北海道テレビ社長室</v>
      </c>
      <c r="D15" s="8" t="str">
        <f>"1970.6"</f>
        <v>1970.6</v>
      </c>
      <c r="E15" s="8" t="str">
        <f>"0114773484"</f>
        <v>0114773484</v>
      </c>
      <c r="F15" s="7" t="s">
        <v>2</v>
      </c>
    </row>
    <row r="16" spans="1:6" s="6" customFormat="1" ht="24.75" customHeight="1">
      <c r="A16" s="8" t="str">
        <f>"ふるさとの旅"</f>
        <v>ふるさとの旅</v>
      </c>
      <c r="B16" s="8" t="str">
        <f>"和田　義雄／編"</f>
        <v>和田　義雄／編</v>
      </c>
      <c r="C16" s="8" t="str">
        <f>"ぷやら新書刊行会"</f>
        <v>ぷやら新書刊行会</v>
      </c>
      <c r="D16" s="8" t="str">
        <f>"1962.10"</f>
        <v>1962.10</v>
      </c>
      <c r="E16" s="8" t="str">
        <f>"0114777949"</f>
        <v>0114777949</v>
      </c>
      <c r="F16" s="7" t="s">
        <v>4</v>
      </c>
    </row>
    <row r="17" spans="1:6" s="6" customFormat="1" ht="24.75" customHeight="1">
      <c r="A17" s="8" t="str">
        <f>"あとがき人生"</f>
        <v>あとがき人生</v>
      </c>
      <c r="B17" s="8" t="str">
        <f>"本多　貢／著"</f>
        <v>本多　貢／著</v>
      </c>
      <c r="C17" s="8" t="str">
        <f t="shared" ref="C17:C23" si="0">"余市町　余市豆本の会"</f>
        <v>余市町　余市豆本の会</v>
      </c>
      <c r="D17" s="8" t="str">
        <f>"1998.10"</f>
        <v>1998.10</v>
      </c>
      <c r="E17" s="8" t="str">
        <f>"0110177110"</f>
        <v>0110177110</v>
      </c>
      <c r="F17" s="7" t="s">
        <v>5</v>
      </c>
    </row>
    <row r="18" spans="1:6" s="6" customFormat="1" ht="24.75" customHeight="1">
      <c r="A18" s="8" t="str">
        <f>"シリパの夕陽"</f>
        <v>シリパの夕陽</v>
      </c>
      <c r="B18" s="8" t="str">
        <f>"鈴木　重安／著"</f>
        <v>鈴木　重安／著</v>
      </c>
      <c r="C18" s="8" t="str">
        <f t="shared" si="0"/>
        <v>余市町　余市豆本の会</v>
      </c>
      <c r="D18" s="8" t="str">
        <f>"1993.7"</f>
        <v>1993.7</v>
      </c>
      <c r="E18" s="8" t="str">
        <f>"0114774094"</f>
        <v>0114774094</v>
      </c>
      <c r="F18" s="7" t="s">
        <v>5</v>
      </c>
    </row>
    <row r="19" spans="1:6" s="6" customFormat="1" ht="24.75" customHeight="1">
      <c r="A19" s="8" t="str">
        <f>"愚老のたわごと"</f>
        <v>愚老のたわごと</v>
      </c>
      <c r="B19" s="8" t="str">
        <f>"酒井　嘉也／著"</f>
        <v>酒井　嘉也／著</v>
      </c>
      <c r="C19" s="8" t="str">
        <f t="shared" si="0"/>
        <v>余市町　余市豆本の会</v>
      </c>
      <c r="D19" s="8" t="str">
        <f>"1994.5"</f>
        <v>1994.5</v>
      </c>
      <c r="E19" s="8" t="str">
        <f>"0114774102"</f>
        <v>0114774102</v>
      </c>
      <c r="F19" s="7" t="s">
        <v>5</v>
      </c>
    </row>
    <row r="20" spans="1:6" s="6" customFormat="1" ht="24.75" customHeight="1">
      <c r="A20" s="8" t="str">
        <f>"北海道の豆本　＜えぞまめほんから開拓豆本まで＞"</f>
        <v>北海道の豆本　＜えぞまめほんから開拓豆本まで＞</v>
      </c>
      <c r="B20" s="8" t="str">
        <f>"川元　栄一／著"</f>
        <v>川元　栄一／著</v>
      </c>
      <c r="C20" s="8" t="str">
        <f t="shared" si="0"/>
        <v>余市町　余市豆本の会</v>
      </c>
      <c r="D20" s="8" t="str">
        <f>"1994.11"</f>
        <v>1994.11</v>
      </c>
      <c r="E20" s="8" t="str">
        <f>"0114774144"</f>
        <v>0114774144</v>
      </c>
      <c r="F20" s="7" t="s">
        <v>5</v>
      </c>
    </row>
    <row r="21" spans="1:6" s="6" customFormat="1" ht="24.75" customHeight="1">
      <c r="A21" s="8" t="str">
        <f>"後志の樹々（北限のブナと仲間たち）"</f>
        <v>後志の樹々（北限のブナと仲間たち）</v>
      </c>
      <c r="B21" s="8" t="str">
        <f>"笹塚　篤／著"</f>
        <v>笹塚　篤／著</v>
      </c>
      <c r="C21" s="8" t="str">
        <f t="shared" si="0"/>
        <v>余市町　余市豆本の会</v>
      </c>
      <c r="D21" s="8" t="str">
        <f>"1997.8"</f>
        <v>1997.8</v>
      </c>
      <c r="E21" s="8" t="str">
        <f>"0114774201"</f>
        <v>0114774201</v>
      </c>
      <c r="F21" s="7" t="s">
        <v>5</v>
      </c>
    </row>
    <row r="22" spans="1:6" s="6" customFormat="1" ht="24.75" customHeight="1">
      <c r="A22" s="8" t="str">
        <f>"教育の原風景（僻地に生きる二人の教師の小伝）"</f>
        <v>教育の原風景（僻地に生きる二人の教師の小伝）</v>
      </c>
      <c r="B22" s="8" t="str">
        <f>"葛西　庸三／著"</f>
        <v>葛西　庸三／著</v>
      </c>
      <c r="C22" s="8" t="str">
        <f t="shared" si="0"/>
        <v>余市町　余市豆本の会</v>
      </c>
      <c r="D22" s="8" t="str">
        <f>"1997.12"</f>
        <v>1997.12</v>
      </c>
      <c r="E22" s="8" t="str">
        <f>"0114774227"</f>
        <v>0114774227</v>
      </c>
      <c r="F22" s="7" t="s">
        <v>5</v>
      </c>
    </row>
    <row r="23" spans="1:6" s="6" customFormat="1" ht="24.75" customHeight="1">
      <c r="A23" s="8" t="str">
        <f>"釣りと人生"</f>
        <v>釣りと人生</v>
      </c>
      <c r="B23" s="8" t="str">
        <f>"池澤　章／著"</f>
        <v>池澤　章／著</v>
      </c>
      <c r="C23" s="8" t="str">
        <f t="shared" si="0"/>
        <v>余市町　余市豆本の会</v>
      </c>
      <c r="D23" s="8" t="str">
        <f>"1998.6"</f>
        <v>1998.6</v>
      </c>
      <c r="E23" s="8" t="str">
        <f>"0114774243"</f>
        <v>0114774243</v>
      </c>
      <c r="F23" s="7" t="s">
        <v>5</v>
      </c>
    </row>
    <row r="24" spans="1:6" s="6" customFormat="1" ht="24.75" customHeight="1">
      <c r="A24" s="8" t="str">
        <f>"小樽の恋びと"</f>
        <v>小樽の恋びと</v>
      </c>
      <c r="B24" s="8" t="str">
        <f>"武井　静雄／著"</f>
        <v>武井　静雄／著</v>
      </c>
      <c r="C24" s="8" t="str">
        <f>"緑丘舎"</f>
        <v>緑丘舎</v>
      </c>
      <c r="D24" s="8" t="str">
        <f>"1980.4"</f>
        <v>1980.4</v>
      </c>
      <c r="E24" s="8" t="str">
        <f>"0114773864"</f>
        <v>0114773864</v>
      </c>
      <c r="F24" s="7" t="s">
        <v>6</v>
      </c>
    </row>
    <row r="25" spans="1:6" s="6" customFormat="1" ht="31.5" customHeight="1">
      <c r="A25" s="8" t="str">
        <f>"大都市への軌跡"</f>
        <v>大都市への軌跡</v>
      </c>
      <c r="B25" s="15" t="str">
        <f>"札幌市総務局秘書広報部／編集"</f>
        <v>札幌市総務局秘書広報部／編集</v>
      </c>
      <c r="C25" s="8" t="str">
        <f>"札幌市"</f>
        <v>札幌市</v>
      </c>
      <c r="D25" s="8" t="str">
        <f>"[1992]"</f>
        <v>[1992]</v>
      </c>
      <c r="E25" s="8" t="str">
        <f>"0114142698"</f>
        <v>0114142698</v>
      </c>
      <c r="F25" s="7" t="s">
        <v>18</v>
      </c>
    </row>
    <row r="26" spans="1:6" s="6" customFormat="1" ht="24.75" customHeight="1">
      <c r="A26" s="8" t="str">
        <f>"札幌市の昭和"</f>
        <v>札幌市の昭和</v>
      </c>
      <c r="B26" s="8" t="str">
        <f>""</f>
        <v/>
      </c>
      <c r="C26" s="8" t="str">
        <f>"いき出版"</f>
        <v>いき出版</v>
      </c>
      <c r="D26" s="8" t="str">
        <f>"2012.8"</f>
        <v>2012.8</v>
      </c>
      <c r="E26" s="8" t="str">
        <f>"0119018810"</f>
        <v>0119018810</v>
      </c>
      <c r="F26" s="7" t="s">
        <v>18</v>
      </c>
    </row>
    <row r="27" spans="1:6" s="6" customFormat="1" ht="24.75" customHeight="1">
      <c r="A27" s="8" t="s">
        <v>37</v>
      </c>
      <c r="B27" s="8" t="s">
        <v>38</v>
      </c>
      <c r="C27" s="8" t="s">
        <v>39</v>
      </c>
      <c r="D27" s="8" t="str">
        <f>"2014.12"</f>
        <v>2014.12</v>
      </c>
      <c r="E27" s="8" t="str">
        <f>"0119369916"</f>
        <v>0119369916</v>
      </c>
      <c r="F27" s="14" t="s">
        <v>40</v>
      </c>
    </row>
    <row r="28" spans="1:6" s="6" customFormat="1" ht="24.75" customHeight="1">
      <c r="A28" s="8" t="str">
        <f>"目で見る札幌の１００年"</f>
        <v>目で見る札幌の１００年</v>
      </c>
      <c r="B28" s="8" t="str">
        <f>"君　尹彦／監修"</f>
        <v>君　尹彦／監修</v>
      </c>
      <c r="C28" s="8" t="str">
        <f>"郷土出版社"</f>
        <v>郷土出版社</v>
      </c>
      <c r="D28" s="8" t="str">
        <f>"2005.8"</f>
        <v>2005.8</v>
      </c>
      <c r="E28" s="8" t="str">
        <f>"0116845934"</f>
        <v>0116845934</v>
      </c>
      <c r="F28" s="7" t="s">
        <v>19</v>
      </c>
    </row>
    <row r="29" spans="1:6" s="6" customFormat="1" ht="24.75" customHeight="1">
      <c r="A29" s="8" t="str">
        <f>"写真記録「日本の美」"</f>
        <v>写真記録「日本の美」</v>
      </c>
      <c r="B29" s="8" t="str">
        <f>"写真記録刊行会／編"</f>
        <v>写真記録刊行会／編</v>
      </c>
      <c r="C29" s="8" t="str">
        <f>"日本ブックエース"</f>
        <v>日本ブックエース</v>
      </c>
      <c r="D29" s="8" t="str">
        <f>"2012.9"</f>
        <v>2012.9</v>
      </c>
      <c r="E29" s="8" t="str">
        <f>"0119145647"</f>
        <v>0119145647</v>
      </c>
      <c r="F29" s="7" t="s">
        <v>25</v>
      </c>
    </row>
    <row r="30" spans="1:6" s="6" customFormat="1" ht="24.75" customHeight="1">
      <c r="A30" s="8" t="str">
        <f>"写真記録「日本の美」"</f>
        <v>写真記録「日本の美」</v>
      </c>
      <c r="B30" s="8" t="str">
        <f>"写真記録刊行会／編"</f>
        <v>写真記録刊行会／編</v>
      </c>
      <c r="C30" s="8" t="str">
        <f>"日本ブックエース"</f>
        <v>日本ブックエース</v>
      </c>
      <c r="D30" s="8" t="str">
        <f>"2012.9"</f>
        <v>2012.9</v>
      </c>
      <c r="E30" s="8" t="str">
        <f>"0119145654"</f>
        <v>0119145654</v>
      </c>
      <c r="F30" s="7" t="s">
        <v>26</v>
      </c>
    </row>
    <row r="31" spans="1:6" s="6" customFormat="1" ht="24.75" customHeight="1">
      <c r="A31" s="8" t="str">
        <f>"［札幌南高等学校］百年史"</f>
        <v>［札幌南高等学校］百年史</v>
      </c>
      <c r="B31" s="8" t="str">
        <f>"札幌南高等学校／［ほか］編"</f>
        <v>札幌南高等学校／［ほか］編</v>
      </c>
      <c r="C31" s="8" t="str">
        <f>"札幌南高等学校"</f>
        <v>札幌南高等学校</v>
      </c>
      <c r="D31" s="8" t="str">
        <f>"1997.3"</f>
        <v>1997.3</v>
      </c>
      <c r="E31" s="8" t="str">
        <f>"0112373527"</f>
        <v>0112373527</v>
      </c>
      <c r="F31" s="7" t="s">
        <v>12</v>
      </c>
    </row>
    <row r="32" spans="1:6" s="6" customFormat="1" ht="24.75" customHeight="1">
      <c r="A32" s="8" t="str">
        <f>"恵迪寮史　復刻版"</f>
        <v>恵迪寮史　復刻版</v>
      </c>
      <c r="B32" s="8" t="str">
        <f>"北海道帝国大学／編"</f>
        <v>北海道帝国大学／編</v>
      </c>
      <c r="C32" s="8" t="str">
        <f>"札幌　北海道大学恵廸寮"</f>
        <v>札幌　北海道大学恵廸寮</v>
      </c>
      <c r="D32" s="8" t="str">
        <f>"1975.11"</f>
        <v>1975.11</v>
      </c>
      <c r="E32" s="8" t="str">
        <f>"0113105019"</f>
        <v>0113105019</v>
      </c>
      <c r="F32" s="7" t="s">
        <v>15</v>
      </c>
    </row>
    <row r="33" spans="1:6" s="6" customFormat="1" ht="24.75" customHeight="1">
      <c r="A33" s="8" t="str">
        <f>"恵廸寮史　第２巻"</f>
        <v>恵廸寮史　第２巻</v>
      </c>
      <c r="B33" s="8" t="str">
        <f>"恵廸寮寮史編纂委員会／編"</f>
        <v>恵廸寮寮史編纂委員会／編</v>
      </c>
      <c r="C33" s="8" t="str">
        <f>"札幌　北海道大学恵廸寮"</f>
        <v>札幌　北海道大学恵廸寮</v>
      </c>
      <c r="D33" s="8" t="str">
        <f>"1987.3"</f>
        <v>1987.3</v>
      </c>
      <c r="E33" s="8" t="str">
        <f>"0112375605"</f>
        <v>0112375605</v>
      </c>
      <c r="F33" s="7" t="s">
        <v>13</v>
      </c>
    </row>
    <row r="34" spans="1:6" s="6" customFormat="1" ht="24.75" customHeight="1">
      <c r="A34" s="8" t="str">
        <f>"札幌歩兵第二十五聯隊誌"</f>
        <v>札幌歩兵第二十五聯隊誌</v>
      </c>
      <c r="B34" s="8" t="str">
        <f>"高橋 憲一／著"</f>
        <v>高橋 憲一／著</v>
      </c>
      <c r="C34" s="8" t="str">
        <f>"大昭和興産出版部"</f>
        <v>大昭和興産出版部</v>
      </c>
      <c r="D34" s="8" t="str">
        <f>"1993.7"</f>
        <v>1993.7</v>
      </c>
      <c r="E34" s="8" t="str">
        <f>"0110154465"</f>
        <v>0110154465</v>
      </c>
      <c r="F34" s="7" t="s">
        <v>7</v>
      </c>
    </row>
    <row r="35" spans="1:6" s="6" customFormat="1" ht="33" customHeight="1">
      <c r="A35" s="8" t="str">
        <f>"石狩川昭和56年8月洪水報告書"</f>
        <v>石狩川昭和56年8月洪水報告書</v>
      </c>
      <c r="B35" s="15" t="str">
        <f>"北海道開発局石狩川開発建設部／監修"</f>
        <v>北海道開発局石狩川開発建設部／監修</v>
      </c>
      <c r="C35" s="8" t="str">
        <f>"北海道開発協会"</f>
        <v>北海道開発協会</v>
      </c>
      <c r="D35" s="8" t="str">
        <f>"1984.3"</f>
        <v>1984.3</v>
      </c>
      <c r="E35" s="8" t="str">
        <f>"0119673572"</f>
        <v>0119673572</v>
      </c>
      <c r="F35" s="7" t="s">
        <v>29</v>
      </c>
    </row>
    <row r="36" spans="1:6" s="6" customFormat="1" ht="24.75" customHeight="1">
      <c r="A36" s="8" t="str">
        <f>"北海道の開拓と建築 上巻"</f>
        <v>北海道の開拓と建築 上巻</v>
      </c>
      <c r="B36" s="8" t="str">
        <f>"北海道建築士会／編"</f>
        <v>北海道建築士会／編</v>
      </c>
      <c r="C36" s="8" t="str">
        <f>"北海道建築士会"</f>
        <v>北海道建築士会</v>
      </c>
      <c r="D36" s="8" t="str">
        <f>"1987.3"</f>
        <v>1987.3</v>
      </c>
      <c r="E36" s="8" t="str">
        <f>"0111942801"</f>
        <v>0111942801</v>
      </c>
      <c r="F36" s="8" t="s">
        <v>11</v>
      </c>
    </row>
    <row r="37" spans="1:6" s="6" customFormat="1" ht="24.75" customHeight="1">
      <c r="A37" s="8" t="str">
        <f>"北海道の開拓と建築 下巻"</f>
        <v>北海道の開拓と建築 下巻</v>
      </c>
      <c r="B37" s="8" t="str">
        <f>"北海道建築士会／編集"</f>
        <v>北海道建築士会／編集</v>
      </c>
      <c r="C37" s="8" t="str">
        <f>"北海道建築士会"</f>
        <v>北海道建築士会</v>
      </c>
      <c r="D37" s="8" t="str">
        <f>"1987.6"</f>
        <v>1987.6</v>
      </c>
      <c r="E37" s="8" t="str">
        <f>"0111942827"</f>
        <v>0111942827</v>
      </c>
      <c r="F37" s="7" t="s">
        <v>11</v>
      </c>
    </row>
    <row r="38" spans="1:6" s="6" customFormat="1" ht="24.75" customHeight="1">
      <c r="A38" s="8" t="s">
        <v>33</v>
      </c>
      <c r="B38" s="8" t="s">
        <v>34</v>
      </c>
      <c r="C38" s="8" t="s">
        <v>35</v>
      </c>
      <c r="D38" s="8" t="str">
        <f>"1984.9"</f>
        <v>1984.9</v>
      </c>
      <c r="E38" s="8" t="str">
        <f>"0114779242"</f>
        <v>0114779242</v>
      </c>
      <c r="F38" s="10" t="s">
        <v>36</v>
      </c>
    </row>
    <row r="39" spans="1:6" s="6" customFormat="1" ht="24.75" customHeight="1">
      <c r="A39" s="8" t="str">
        <f>"さっぽろの足"</f>
        <v>さっぽろの足</v>
      </c>
      <c r="B39" s="8" t="str">
        <f>"札幌市交通局管理部／編集"</f>
        <v>札幌市交通局管理部／編集</v>
      </c>
      <c r="C39" s="8" t="str">
        <f>"札幌市交通局"</f>
        <v>札幌市交通局</v>
      </c>
      <c r="D39" s="8" t="str">
        <f>"1977"</f>
        <v>1977</v>
      </c>
      <c r="E39" s="8" t="str">
        <f>"0180034191"</f>
        <v>0180034191</v>
      </c>
      <c r="F39" s="9" t="s">
        <v>31</v>
      </c>
    </row>
    <row r="40" spans="1:6" s="6" customFormat="1" ht="24.75" customHeight="1">
      <c r="A40" s="8" t="str">
        <f>"イサム・ノグチの世界"</f>
        <v>イサム・ノグチの世界</v>
      </c>
      <c r="B40" s="8" t="str">
        <f>"イサム・ノグチ／[作]"</f>
        <v>イサム・ノグチ／[作]</v>
      </c>
      <c r="C40" s="8" t="str">
        <f>"ぎょうせい"</f>
        <v>ぎょうせい</v>
      </c>
      <c r="D40" s="8" t="str">
        <f>"1998.6"</f>
        <v>1998.6</v>
      </c>
      <c r="E40" s="8" t="str">
        <f>"0113094973"</f>
        <v>0113094973</v>
      </c>
      <c r="F40" s="8" t="s">
        <v>14</v>
      </c>
    </row>
    <row r="41" spans="1:6" s="6" customFormat="1" ht="24.75" customHeight="1">
      <c r="A41" s="8" t="str">
        <f>"&lt;巨匠が描く&gt;日本の名山"</f>
        <v>&lt;巨匠が描く&gt;日本の名山</v>
      </c>
      <c r="B41" s="8" t="str">
        <f>"鈴木 進／監修"</f>
        <v>鈴木 進／監修</v>
      </c>
      <c r="C41" s="8" t="str">
        <f>"郷土出版社"</f>
        <v>郷土出版社</v>
      </c>
      <c r="D41" s="8" t="str">
        <f>"1999.8"</f>
        <v>1999.8</v>
      </c>
      <c r="E41" s="8" t="str">
        <f>"0113407423"</f>
        <v>0113407423</v>
      </c>
      <c r="F41" s="8" t="s">
        <v>17</v>
      </c>
    </row>
    <row r="42" spans="1:6" s="6" customFormat="1" ht="24.75" customHeight="1">
      <c r="A42" s="8" t="str">
        <f>"大雪山"</f>
        <v>大雪山</v>
      </c>
      <c r="B42" s="8" t="str">
        <f>"市根井 孝悦／著"</f>
        <v>市根井 孝悦／著</v>
      </c>
      <c r="C42" s="8" t="str">
        <f>"山と溪谷社"</f>
        <v>山と溪谷社</v>
      </c>
      <c r="D42" s="8" t="str">
        <f>"2014.6"</f>
        <v>2014.6</v>
      </c>
      <c r="E42" s="8" t="str">
        <f>"0119460566"</f>
        <v>0119460566</v>
      </c>
      <c r="F42" s="9" t="s">
        <v>28</v>
      </c>
    </row>
    <row r="43" spans="1:6" s="6" customFormat="1" ht="24.75" customHeight="1">
      <c r="A43" s="8" t="str">
        <f>"エゾヒグマ"</f>
        <v>エゾヒグマ</v>
      </c>
      <c r="B43" s="8" t="str">
        <f>"久保 敬親／著"</f>
        <v>久保 敬親／著</v>
      </c>
      <c r="C43" s="8" t="str">
        <f>"山と渓谷社"</f>
        <v>山と渓谷社</v>
      </c>
      <c r="D43" s="8" t="str">
        <f>"1999.8"</f>
        <v>1999.8</v>
      </c>
      <c r="E43" s="8" t="str">
        <f>"0113295182"</f>
        <v>0113295182</v>
      </c>
      <c r="F43" s="8" t="s">
        <v>16</v>
      </c>
    </row>
    <row r="44" spans="1:6" s="6" customFormat="1" ht="24.75" customHeight="1">
      <c r="A44" s="8" t="str">
        <f>"写真甲子園20年の軌跡"</f>
        <v>写真甲子園20年の軌跡</v>
      </c>
      <c r="B44" s="8" t="str">
        <f>"立木 義浩／監修"</f>
        <v>立木 義浩／監修</v>
      </c>
      <c r="C44" s="8" t="str">
        <f>"北海道新聞社"</f>
        <v>北海道新聞社</v>
      </c>
      <c r="D44" s="8" t="str">
        <f>"2014.3"</f>
        <v>2014.3</v>
      </c>
      <c r="E44" s="8" t="str">
        <f>"0119436897"</f>
        <v>0119436897</v>
      </c>
      <c r="F44" s="9" t="s">
        <v>27</v>
      </c>
    </row>
    <row r="45" spans="1:6" s="6" customFormat="1" ht="24.75" customHeight="1">
      <c r="A45" s="8" t="str">
        <f>"北海道"</f>
        <v>北海道</v>
      </c>
      <c r="B45" s="8" t="str">
        <f>"森山　大道／［写真］"</f>
        <v>森山　大道／［写真］</v>
      </c>
      <c r="C45" s="8" t="str">
        <f>"RAT HOLE GALLERY"</f>
        <v>RAT HOLE GALLERY</v>
      </c>
      <c r="D45" s="8" t="str">
        <f>"2008.12"</f>
        <v>2008.12</v>
      </c>
      <c r="E45" s="8" t="str">
        <f>"0117854901"</f>
        <v>0117854901</v>
      </c>
      <c r="F45" s="9" t="s">
        <v>22</v>
      </c>
    </row>
    <row r="46" spans="1:6" s="6" customFormat="1" ht="24.75" customHeight="1">
      <c r="A46" s="8" t="str">
        <f>"北海道--季(トキ)の色"</f>
        <v>北海道--季(トキ)の色</v>
      </c>
      <c r="B46" s="8" t="str">
        <f>"綿引 幸造／著"</f>
        <v>綿引 幸造／著</v>
      </c>
      <c r="C46" s="8" t="str">
        <f>"ぎょうせい"</f>
        <v>ぎょうせい</v>
      </c>
      <c r="D46" s="8" t="str">
        <f>"1987.8"</f>
        <v>1987.8</v>
      </c>
      <c r="E46" s="8" t="str">
        <f>"0111554168"</f>
        <v>0111554168</v>
      </c>
      <c r="F46" s="8" t="s">
        <v>8</v>
      </c>
    </row>
    <row r="47" spans="1:6" s="6" customFormat="1" ht="24.75" customHeight="1">
      <c r="A47" s="8" t="str">
        <f>"札幌交響楽団"</f>
        <v>札幌交響楽団</v>
      </c>
      <c r="B47" s="8" t="str">
        <f>"札幌交響楽団／編"</f>
        <v>札幌交響楽団／編</v>
      </c>
      <c r="C47" s="8" t="str">
        <f>"北海道新聞社"</f>
        <v>北海道新聞社</v>
      </c>
      <c r="D47" s="8" t="str">
        <f>"1982.4"</f>
        <v>1982.4</v>
      </c>
      <c r="E47" s="8" t="str">
        <f>"0111555223"</f>
        <v>0111555223</v>
      </c>
      <c r="F47" s="8" t="s">
        <v>9</v>
      </c>
    </row>
    <row r="48" spans="1:6" s="6" customFormat="1" ht="24.75" customHeight="1">
      <c r="A48" s="8" t="str">
        <f>"スタジオジブリ・レイアウト展"</f>
        <v>スタジオジブリ・レイアウト展</v>
      </c>
      <c r="B48" s="8" t="str">
        <f>"スタジオジブリ／編集"</f>
        <v>スタジオジブリ／編集</v>
      </c>
      <c r="C48" s="8" t="str">
        <f>"日本テレビ放送網"</f>
        <v>日本テレビ放送網</v>
      </c>
      <c r="D48" s="8" t="str">
        <f>"2008.7"</f>
        <v>2008.7</v>
      </c>
      <c r="E48" s="8" t="str">
        <f>"0118500974"</f>
        <v>0118500974</v>
      </c>
      <c r="F48" s="9" t="s">
        <v>23</v>
      </c>
    </row>
    <row r="49" spans="1:6" s="6" customFormat="1" ht="24.75" customHeight="1">
      <c r="A49" s="8" t="str">
        <f>"新海誠展"</f>
        <v>新海誠展</v>
      </c>
      <c r="B49" s="8" t="str">
        <f>"新海 誠／[画]"</f>
        <v>新海 誠／[画]</v>
      </c>
      <c r="C49" s="8" t="str">
        <f>"朝日新聞社"</f>
        <v>朝日新聞社</v>
      </c>
      <c r="D49" s="8" t="str">
        <f>"2017.11"</f>
        <v>2017.11</v>
      </c>
      <c r="E49" s="8" t="str">
        <f>"0180258295"</f>
        <v>0180258295</v>
      </c>
      <c r="F49" s="9" t="s">
        <v>32</v>
      </c>
    </row>
    <row r="50" spans="1:6" s="6" customFormat="1" ht="24.75" customHeight="1">
      <c r="A50" s="8" t="str">
        <f>"「号外」戦後史"</f>
        <v>「号外」戦後史</v>
      </c>
      <c r="B50" s="8" t="str">
        <f>""</f>
        <v/>
      </c>
      <c r="C50" s="8" t="str">
        <f>"大空社"</f>
        <v>大空社</v>
      </c>
      <c r="D50" s="8" t="str">
        <f>"1995.7"</f>
        <v>1995.7</v>
      </c>
      <c r="E50" s="8" t="str">
        <f>"0111715058"</f>
        <v>0111715058</v>
      </c>
      <c r="F50" s="7" t="s">
        <v>10</v>
      </c>
    </row>
    <row r="51" spans="1:6" s="6" customFormat="1" ht="24.75" customHeight="1">
      <c r="A51" s="8" t="str">
        <f>"二十世紀の新聞"</f>
        <v>二十世紀の新聞</v>
      </c>
      <c r="B51" s="8" t="str">
        <f>"２０世紀の歴史編集委員会／編"</f>
        <v>２０世紀の歴史編集委員会／編</v>
      </c>
      <c r="C51" s="8" t="str">
        <f>"日本メール・オーダー"</f>
        <v>日本メール・オーダー</v>
      </c>
      <c r="D51" s="8" t="str">
        <f>"1977.12"</f>
        <v>1977.12</v>
      </c>
      <c r="E51" s="8" t="str">
        <f>"0119136778"</f>
        <v>0119136778</v>
      </c>
      <c r="F51" s="7" t="s">
        <v>24</v>
      </c>
    </row>
    <row r="52" spans="1:6" s="6" customFormat="1" ht="24.75" customHeight="1">
      <c r="A52" s="8" t="str">
        <f>"Portland"</f>
        <v>Portland</v>
      </c>
      <c r="B52" s="8" t="str">
        <f>"Jonathan Nicholas／文"</f>
        <v>Jonathan Nicholas／文</v>
      </c>
      <c r="C52" s="8" t="str">
        <f>"Graphic Arts Center"</f>
        <v>Graphic Arts Center</v>
      </c>
      <c r="D52" s="8" t="str">
        <f>"[1990]"</f>
        <v>[1990]</v>
      </c>
      <c r="E52" s="8" t="str">
        <f>"0119703650"</f>
        <v>0119703650</v>
      </c>
      <c r="F52" s="7" t="s">
        <v>30</v>
      </c>
    </row>
    <row r="53" spans="1:6" s="6" customFormat="1" ht="24.75" customHeight="1">
      <c r="A53" s="8" t="str">
        <f>"Munchen"</f>
        <v>Munchen</v>
      </c>
      <c r="B53" s="8" t="str">
        <f>"Erika Drave／写真"</f>
        <v>Erika Drave／写真</v>
      </c>
      <c r="C53" s="8" t="str">
        <f>"Suddeutscher verlag"</f>
        <v>Suddeutscher verlag</v>
      </c>
      <c r="D53" s="8" t="str">
        <f>"1977"</f>
        <v>1977</v>
      </c>
      <c r="E53" s="8" t="str">
        <f>"0117738153"</f>
        <v>0117738153</v>
      </c>
      <c r="F53" s="9" t="s">
        <v>21</v>
      </c>
    </row>
  </sheetData>
  <mergeCells count="2">
    <mergeCell ref="A1:C1"/>
    <mergeCell ref="D1:F1"/>
  </mergeCells>
  <phoneticPr fontId="6"/>
  <printOptions horizontalCentered="1"/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改</vt:lpstr>
      <vt:lpstr>Sheet1!Print_Titles</vt:lpstr>
      <vt:lpstr>改!Print_Titles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2019-11-12T01:21:19Z</dcterms:modified>
</cp:coreProperties>
</file>